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FB0F6E0E-41DD-40EE-A12C-43B06AA864B8}" xr6:coauthVersionLast="47" xr6:coauthVersionMax="47" xr10:uidLastSave="{00000000-0000-0000-0000-000000000000}"/>
  <bookViews>
    <workbookView xWindow="-120" yWindow="-120" windowWidth="29040" windowHeight="15840" activeTab="1" xr2:uid="{00000000-000D-0000-FFFF-FFFF00000000}"/>
  </bookViews>
  <sheets>
    <sheet name="病名彙解などのWeb索引" sheetId="7" r:id="rId1"/>
    <sheet name="索引" sheetId="1" r:id="rId2"/>
    <sheet name="Sheet2" sheetId="2" r:id="rId3"/>
    <sheet name="Sheet3" sheetId="3" r:id="rId4"/>
    <sheet name="Sheet4" sheetId="4" r:id="rId5"/>
    <sheet name="Sheet5" sheetId="5" r:id="rId6"/>
    <sheet name="Sheet6" sheetId="6" r:id="rId7"/>
  </sheets>
  <definedNames>
    <definedName name="_xlnm._FilterDatabase" localSheetId="1" hidden="1">索引!$A$1:$B$5517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57" i="7" l="1"/>
  <c r="D5356" i="7"/>
  <c r="D5355" i="7"/>
  <c r="D5354" i="7"/>
  <c r="D5353" i="7"/>
  <c r="D5352" i="7"/>
  <c r="D5351" i="7"/>
  <c r="D5350" i="7"/>
  <c r="D5349" i="7"/>
  <c r="D5348" i="7"/>
  <c r="D5347" i="7"/>
  <c r="D5346" i="7"/>
  <c r="D5345" i="7"/>
  <c r="D5344" i="7"/>
  <c r="D5343" i="7"/>
  <c r="D5342" i="7"/>
  <c r="D5341" i="7"/>
  <c r="D5340" i="7"/>
  <c r="D5339" i="7"/>
  <c r="D5338" i="7"/>
  <c r="D5337" i="7"/>
  <c r="D5336" i="7"/>
  <c r="D5335" i="7"/>
  <c r="D5334" i="7"/>
  <c r="D5333" i="7"/>
  <c r="D5332" i="7"/>
  <c r="D5331" i="7"/>
  <c r="D5330" i="7"/>
  <c r="D5329" i="7"/>
  <c r="D5328" i="7"/>
  <c r="D5327" i="7"/>
  <c r="D5326" i="7"/>
  <c r="D5325" i="7"/>
  <c r="D5324" i="7"/>
  <c r="D5323" i="7"/>
  <c r="D5322" i="7"/>
  <c r="D5321" i="7"/>
  <c r="D5320" i="7"/>
  <c r="D5319" i="7"/>
  <c r="D5318" i="7"/>
  <c r="D5317" i="7"/>
  <c r="D5316" i="7"/>
  <c r="D5315" i="7"/>
  <c r="D5314" i="7"/>
  <c r="D5313" i="7"/>
  <c r="D5312" i="7"/>
  <c r="D5311" i="7"/>
  <c r="D5310" i="7"/>
  <c r="D5309" i="7"/>
  <c r="D5308" i="7"/>
  <c r="D5307" i="7"/>
  <c r="D5306" i="7"/>
  <c r="D5305" i="7"/>
  <c r="D5304" i="7"/>
  <c r="D5303" i="7"/>
  <c r="D5302" i="7"/>
  <c r="D5301" i="7"/>
  <c r="D5300" i="7"/>
  <c r="D5299" i="7"/>
  <c r="D5298" i="7"/>
  <c r="D5297" i="7"/>
  <c r="D5296" i="7"/>
  <c r="D5295" i="7"/>
  <c r="D5294" i="7"/>
  <c r="D5293" i="7"/>
  <c r="D5292" i="7"/>
  <c r="D5291" i="7"/>
  <c r="D5290" i="7"/>
  <c r="D5289" i="7"/>
  <c r="D5288" i="7"/>
  <c r="D5287" i="7"/>
  <c r="D5286" i="7"/>
  <c r="D5285" i="7"/>
  <c r="D5284" i="7"/>
  <c r="D5283" i="7"/>
  <c r="D5282" i="7"/>
  <c r="D5281" i="7"/>
  <c r="D5280" i="7"/>
  <c r="D5279" i="7"/>
  <c r="D5278" i="7"/>
  <c r="D5277" i="7"/>
  <c r="D5276" i="7"/>
  <c r="D5275" i="7"/>
  <c r="D5274" i="7"/>
  <c r="D5273" i="7"/>
  <c r="D5272" i="7"/>
  <c r="D5271" i="7"/>
  <c r="D5270" i="7"/>
  <c r="D5269" i="7"/>
  <c r="D5268" i="7"/>
  <c r="D5267" i="7"/>
  <c r="D5266" i="7"/>
  <c r="D4926" i="7"/>
  <c r="D4925" i="7"/>
  <c r="D4924" i="7"/>
  <c r="D4923" i="7"/>
  <c r="D4922" i="7"/>
  <c r="D4921" i="7"/>
  <c r="D4920" i="7"/>
  <c r="D4919" i="7"/>
  <c r="D4918" i="7"/>
  <c r="D4917" i="7"/>
  <c r="D4916" i="7"/>
  <c r="D4915" i="7"/>
  <c r="D4914" i="7"/>
  <c r="D4913" i="7"/>
  <c r="D4912" i="7"/>
  <c r="D4911" i="7"/>
  <c r="D4910" i="7"/>
  <c r="D4909" i="7"/>
  <c r="D4908" i="7"/>
  <c r="D4907" i="7"/>
  <c r="D4906" i="7"/>
  <c r="D4905" i="7"/>
  <c r="D4904" i="7"/>
  <c r="D4903" i="7"/>
  <c r="D4902" i="7"/>
  <c r="D4901" i="7"/>
  <c r="D4900" i="7"/>
  <c r="D4899" i="7"/>
  <c r="D4898" i="7"/>
  <c r="D4897" i="7"/>
  <c r="D4896" i="7"/>
  <c r="D4895" i="7"/>
  <c r="D4894" i="7"/>
  <c r="D4893" i="7"/>
  <c r="D4892" i="7"/>
  <c r="D4891" i="7"/>
  <c r="D4890" i="7"/>
  <c r="D4889" i="7"/>
  <c r="D4888" i="7"/>
  <c r="D4887" i="7"/>
  <c r="D4886" i="7"/>
  <c r="D4885" i="7"/>
  <c r="D4884" i="7"/>
  <c r="D4883" i="7"/>
  <c r="D4882" i="7"/>
  <c r="D4881" i="7"/>
  <c r="D4880" i="7"/>
  <c r="D4879" i="7"/>
  <c r="D4878" i="7"/>
  <c r="D4877" i="7"/>
  <c r="D4876" i="7"/>
  <c r="D4875" i="7"/>
  <c r="D4874" i="7"/>
  <c r="D4873" i="7"/>
  <c r="D4872" i="7"/>
  <c r="D4871" i="7"/>
  <c r="D4870" i="7"/>
  <c r="D4869" i="7"/>
  <c r="D4868" i="7"/>
  <c r="D4867" i="7"/>
  <c r="D4866" i="7"/>
  <c r="D4865" i="7"/>
  <c r="D4864" i="7"/>
  <c r="D4863" i="7"/>
  <c r="D4862" i="7"/>
  <c r="D4861" i="7"/>
  <c r="D4860" i="7"/>
  <c r="D4859" i="7"/>
  <c r="D4858" i="7"/>
  <c r="D4857" i="7"/>
  <c r="D4856" i="7"/>
  <c r="D4855" i="7"/>
  <c r="D4854" i="7"/>
  <c r="D4853" i="7"/>
  <c r="D4852" i="7"/>
  <c r="D4851" i="7"/>
  <c r="D4850" i="7"/>
  <c r="D4849" i="7"/>
  <c r="D4848" i="7"/>
  <c r="D4847" i="7"/>
  <c r="D4846" i="7"/>
  <c r="D4845" i="7"/>
  <c r="D4844" i="7"/>
  <c r="D4843" i="7"/>
  <c r="D4842" i="7"/>
  <c r="D4841" i="7"/>
  <c r="D4840" i="7"/>
  <c r="D4839" i="7"/>
  <c r="D4838" i="7"/>
  <c r="D4837" i="7"/>
  <c r="D4836" i="7"/>
  <c r="D4835" i="7"/>
  <c r="D4834" i="7"/>
  <c r="D4833" i="7"/>
  <c r="D4832" i="7"/>
  <c r="D4831" i="7"/>
  <c r="D4830" i="7"/>
  <c r="D4829" i="7"/>
  <c r="D4828" i="7"/>
  <c r="D4827" i="7"/>
  <c r="D4826" i="7"/>
  <c r="D4825" i="7"/>
  <c r="D4824" i="7"/>
  <c r="D4823" i="7"/>
  <c r="D4822" i="7"/>
  <c r="D4821" i="7"/>
  <c r="D4820" i="7"/>
  <c r="D4819" i="7"/>
  <c r="D4818" i="7"/>
  <c r="D4817" i="7"/>
  <c r="D4816" i="7"/>
  <c r="D4815" i="7"/>
  <c r="D4814" i="7"/>
  <c r="D4813" i="7"/>
  <c r="D4812" i="7"/>
  <c r="D4811" i="7"/>
  <c r="D4810" i="7"/>
  <c r="D4809" i="7"/>
  <c r="D4808" i="7"/>
  <c r="D4807" i="7"/>
  <c r="D4806" i="7"/>
  <c r="D4805" i="7"/>
  <c r="D4804" i="7"/>
  <c r="D4803" i="7"/>
  <c r="D4802" i="7"/>
  <c r="D4801" i="7"/>
  <c r="D4800" i="7"/>
  <c r="D4799" i="7"/>
  <c r="D4798" i="7"/>
  <c r="D4797" i="7"/>
  <c r="D4796" i="7"/>
  <c r="D4795" i="7"/>
  <c r="D4794" i="7"/>
  <c r="D4793" i="7"/>
  <c r="D4792" i="7"/>
  <c r="D4791" i="7"/>
  <c r="D4790" i="7"/>
  <c r="D4789" i="7"/>
  <c r="D4788" i="7"/>
  <c r="D4787" i="7"/>
  <c r="D4786" i="7"/>
  <c r="D4785" i="7"/>
  <c r="D4784" i="7"/>
  <c r="D4783" i="7"/>
  <c r="D4782" i="7"/>
  <c r="D4781" i="7"/>
  <c r="D4780" i="7"/>
  <c r="D4779" i="7"/>
  <c r="D4778" i="7"/>
  <c r="D4777" i="7"/>
  <c r="D4776" i="7"/>
  <c r="D4775" i="7"/>
  <c r="D4774" i="7"/>
  <c r="D4773" i="7"/>
  <c r="D4772" i="7"/>
  <c r="D4771" i="7"/>
  <c r="D4770" i="7"/>
  <c r="D4769" i="7"/>
  <c r="D4768" i="7"/>
  <c r="D4767" i="7"/>
  <c r="D4766" i="7"/>
  <c r="D4765" i="7"/>
  <c r="D4764" i="7"/>
  <c r="D4763" i="7"/>
  <c r="D4762" i="7"/>
  <c r="D4761" i="7"/>
  <c r="D4760" i="7"/>
  <c r="D4759" i="7"/>
  <c r="D4758" i="7"/>
  <c r="D4757" i="7"/>
  <c r="D4756" i="7"/>
  <c r="D4755" i="7"/>
  <c r="D4754" i="7"/>
  <c r="D4753" i="7"/>
  <c r="D4752" i="7"/>
  <c r="D4751" i="7"/>
  <c r="D4750" i="7"/>
  <c r="D4749" i="7"/>
  <c r="D4748" i="7"/>
  <c r="D4747" i="7"/>
  <c r="D4746" i="7"/>
  <c r="D4745" i="7"/>
  <c r="D4744" i="7"/>
  <c r="D4743" i="7"/>
  <c r="D4742" i="7"/>
  <c r="D4741" i="7"/>
  <c r="D4740" i="7"/>
  <c r="D4739" i="7"/>
  <c r="D4738" i="7"/>
  <c r="D4737" i="7"/>
  <c r="D4736" i="7"/>
  <c r="D4735" i="7"/>
  <c r="D4734" i="7"/>
  <c r="D4733" i="7"/>
  <c r="D4732" i="7"/>
  <c r="D4731" i="7"/>
  <c r="D4730" i="7"/>
  <c r="D4729" i="7"/>
  <c r="D4728" i="7"/>
  <c r="D4727" i="7"/>
  <c r="D4726" i="7"/>
  <c r="D4725" i="7"/>
  <c r="D4724" i="7"/>
  <c r="D4723" i="7"/>
  <c r="D4722" i="7"/>
  <c r="D4721" i="7"/>
  <c r="D4720" i="7"/>
  <c r="D4719" i="7"/>
  <c r="D4718" i="7"/>
  <c r="D4717" i="7"/>
  <c r="D4716" i="7"/>
  <c r="D4715" i="7"/>
  <c r="D4714" i="7"/>
  <c r="D4713" i="7"/>
  <c r="D4712" i="7"/>
  <c r="D4711" i="7"/>
  <c r="D4710" i="7"/>
  <c r="D4709" i="7"/>
  <c r="D4708" i="7"/>
  <c r="D4707" i="7"/>
  <c r="D4706" i="7"/>
  <c r="D4705" i="7"/>
  <c r="D4704" i="7"/>
  <c r="D4703" i="7"/>
  <c r="D4702" i="7"/>
  <c r="D4701" i="7"/>
  <c r="D4700" i="7"/>
  <c r="D4699" i="7"/>
  <c r="D4698" i="7"/>
  <c r="D4697" i="7"/>
  <c r="D4696" i="7"/>
  <c r="D4695" i="7"/>
  <c r="D4694" i="7"/>
  <c r="D4693" i="7"/>
  <c r="D4692" i="7"/>
  <c r="D4691" i="7"/>
  <c r="D4690" i="7"/>
  <c r="D4689" i="7"/>
  <c r="D4688" i="7"/>
  <c r="D4687" i="7"/>
  <c r="D4686" i="7"/>
  <c r="D4685" i="7"/>
  <c r="D4684" i="7"/>
  <c r="D4683" i="7"/>
  <c r="D4682" i="7"/>
  <c r="D4681" i="7"/>
  <c r="D4680" i="7"/>
  <c r="D4679" i="7"/>
  <c r="D4678" i="7"/>
  <c r="D4677" i="7"/>
  <c r="D4676" i="7"/>
  <c r="D4675" i="7"/>
  <c r="D4674" i="7"/>
  <c r="D4673" i="7"/>
  <c r="D4672" i="7"/>
  <c r="D4671" i="7"/>
  <c r="D4670" i="7"/>
  <c r="D4669" i="7"/>
  <c r="D4668" i="7"/>
  <c r="D4667" i="7"/>
  <c r="D4666" i="7"/>
  <c r="D4665" i="7"/>
  <c r="D4664" i="7"/>
  <c r="D4663" i="7"/>
  <c r="D4662" i="7"/>
  <c r="D4661" i="7"/>
  <c r="D4660" i="7"/>
  <c r="D4659" i="7"/>
  <c r="D4658" i="7"/>
  <c r="D4657" i="7"/>
  <c r="D4656" i="7"/>
  <c r="D4655" i="7"/>
  <c r="D4654" i="7"/>
  <c r="D4653" i="7"/>
  <c r="D4652" i="7"/>
  <c r="D4651" i="7"/>
  <c r="D4650" i="7"/>
  <c r="D4649" i="7"/>
  <c r="D4648" i="7"/>
  <c r="D4647" i="7"/>
  <c r="D4646" i="7"/>
  <c r="D4645" i="7"/>
  <c r="D4644" i="7"/>
  <c r="D4643" i="7"/>
  <c r="D4642" i="7"/>
  <c r="D4641" i="7"/>
  <c r="D4640" i="7"/>
  <c r="D4639" i="7"/>
  <c r="D4638" i="7"/>
  <c r="D4637" i="7"/>
  <c r="D4636" i="7"/>
  <c r="D4635" i="7"/>
  <c r="D4634" i="7"/>
  <c r="D4633" i="7"/>
  <c r="D4632" i="7"/>
  <c r="D4631" i="7"/>
  <c r="D4630" i="7"/>
  <c r="D4629" i="7"/>
  <c r="D4628" i="7"/>
  <c r="D4627" i="7"/>
  <c r="D4626" i="7"/>
  <c r="D4625" i="7"/>
  <c r="D4624" i="7"/>
  <c r="D4623" i="7"/>
  <c r="D4622" i="7"/>
  <c r="D4621" i="7"/>
  <c r="D4620" i="7"/>
  <c r="D4619" i="7"/>
  <c r="D4618" i="7"/>
  <c r="D4617" i="7"/>
  <c r="D4616" i="7"/>
  <c r="D4615" i="7"/>
  <c r="D4614" i="7"/>
  <c r="D4613" i="7"/>
  <c r="D4612" i="7"/>
  <c r="D4611" i="7"/>
  <c r="D4610" i="7"/>
  <c r="D4609" i="7"/>
  <c r="D4608" i="7"/>
  <c r="D4607" i="7"/>
  <c r="D4606" i="7"/>
  <c r="D4605" i="7"/>
  <c r="D4604" i="7"/>
  <c r="D4603" i="7"/>
  <c r="D4602" i="7"/>
  <c r="D4601" i="7"/>
  <c r="D4600" i="7"/>
  <c r="D4599" i="7"/>
  <c r="D4598" i="7"/>
  <c r="D4597" i="7"/>
  <c r="D4596" i="7"/>
  <c r="D4595" i="7"/>
  <c r="D4594" i="7"/>
  <c r="D4593" i="7"/>
  <c r="D4592" i="7"/>
  <c r="D4591" i="7"/>
  <c r="D4590" i="7"/>
  <c r="D4589" i="7"/>
  <c r="D4588" i="7"/>
  <c r="D4587" i="7"/>
  <c r="D4586" i="7"/>
  <c r="D4585" i="7"/>
  <c r="D4584" i="7"/>
  <c r="D4583" i="7"/>
  <c r="D4582" i="7"/>
  <c r="D4581" i="7"/>
  <c r="D4580" i="7"/>
  <c r="D4579" i="7"/>
  <c r="D4578" i="7"/>
  <c r="D4577" i="7"/>
  <c r="D4576" i="7"/>
  <c r="D4575" i="7"/>
  <c r="D4574" i="7"/>
  <c r="D4573" i="7"/>
  <c r="D4572" i="7"/>
  <c r="D4571" i="7"/>
  <c r="D4570" i="7"/>
  <c r="D4569" i="7"/>
  <c r="D4568" i="7"/>
  <c r="D4567" i="7"/>
  <c r="D4566" i="7"/>
  <c r="D4565" i="7"/>
  <c r="D4564" i="7"/>
  <c r="D4563" i="7"/>
  <c r="D4562" i="7"/>
  <c r="D4561" i="7"/>
  <c r="D4560" i="7"/>
  <c r="D4559" i="7"/>
  <c r="D4558" i="7"/>
  <c r="D4557" i="7"/>
  <c r="D4556" i="7"/>
  <c r="D4555" i="7"/>
  <c r="D4554" i="7"/>
  <c r="D4553" i="7"/>
  <c r="D4552" i="7"/>
  <c r="D4551" i="7"/>
  <c r="D4550" i="7"/>
  <c r="D4549" i="7"/>
  <c r="D4548" i="7"/>
  <c r="D4547" i="7"/>
  <c r="D4546" i="7"/>
  <c r="D4545" i="7"/>
  <c r="D4544" i="7"/>
  <c r="D4543" i="7"/>
  <c r="D4542" i="7"/>
  <c r="D4541" i="7"/>
  <c r="D4540" i="7"/>
  <c r="D4539" i="7"/>
  <c r="D4538" i="7"/>
  <c r="D4537" i="7"/>
  <c r="D4536" i="7"/>
  <c r="D4535" i="7"/>
  <c r="D4534" i="7"/>
  <c r="D4533" i="7"/>
  <c r="D4532" i="7"/>
  <c r="D4531" i="7"/>
  <c r="D4530" i="7"/>
  <c r="D4529" i="7"/>
  <c r="D4528" i="7"/>
  <c r="D4527" i="7"/>
  <c r="D4526" i="7"/>
  <c r="D4525" i="7"/>
  <c r="D4524" i="7"/>
  <c r="D4523" i="7"/>
  <c r="D4522" i="7"/>
  <c r="D4521" i="7"/>
  <c r="D4520" i="7"/>
  <c r="D4519" i="7"/>
  <c r="D4518" i="7"/>
  <c r="D4517" i="7"/>
  <c r="D4516" i="7"/>
  <c r="D4515" i="7"/>
  <c r="D4514" i="7"/>
  <c r="D4513" i="7"/>
  <c r="D4512" i="7"/>
  <c r="D4511" i="7"/>
  <c r="D4510" i="7"/>
  <c r="D4509" i="7"/>
  <c r="D4508" i="7"/>
  <c r="D4507" i="7"/>
  <c r="D4506" i="7"/>
  <c r="D4505" i="7"/>
  <c r="D4504" i="7"/>
  <c r="D4503" i="7"/>
  <c r="D4502" i="7"/>
  <c r="D4501" i="7"/>
  <c r="D4500" i="7"/>
  <c r="D4499" i="7"/>
  <c r="D4498" i="7"/>
  <c r="D4497" i="7"/>
  <c r="D4496" i="7"/>
  <c r="D4495" i="7"/>
  <c r="D4494" i="7"/>
  <c r="D4493" i="7"/>
  <c r="D4492" i="7"/>
  <c r="D4491" i="7"/>
  <c r="D4490" i="7"/>
  <c r="D4489" i="7"/>
  <c r="D4488" i="7"/>
  <c r="D4487" i="7"/>
  <c r="D4486" i="7"/>
  <c r="D4485" i="7"/>
  <c r="D4484" i="7"/>
  <c r="D4483" i="7"/>
  <c r="D4482" i="7"/>
  <c r="D4481" i="7"/>
  <c r="D4480" i="7"/>
  <c r="D4479" i="7"/>
  <c r="D4478" i="7"/>
  <c r="D4477" i="7"/>
  <c r="D4476" i="7"/>
  <c r="D4475" i="7"/>
  <c r="D4474" i="7"/>
  <c r="D4473" i="7"/>
  <c r="D4472" i="7"/>
  <c r="D4471" i="7"/>
  <c r="D4470" i="7"/>
  <c r="D4469" i="7"/>
  <c r="D4468" i="7"/>
  <c r="D4467" i="7"/>
  <c r="D4466" i="7"/>
  <c r="D4465" i="7"/>
  <c r="D4464" i="7"/>
  <c r="D4463" i="7"/>
  <c r="D4462" i="7"/>
  <c r="D4461" i="7"/>
  <c r="D4460" i="7"/>
  <c r="D4459" i="7"/>
  <c r="D4458" i="7"/>
  <c r="D4457" i="7"/>
  <c r="D4456" i="7"/>
  <c r="D4455" i="7"/>
  <c r="D4454" i="7"/>
  <c r="D4453" i="7"/>
  <c r="D4452" i="7"/>
  <c r="D4451" i="7"/>
  <c r="D4450" i="7"/>
  <c r="D4449" i="7"/>
  <c r="D4448" i="7"/>
  <c r="D4447" i="7"/>
  <c r="D4446" i="7"/>
  <c r="D4445" i="7"/>
  <c r="D4444" i="7"/>
  <c r="D4443" i="7"/>
  <c r="D4442" i="7"/>
  <c r="D4441" i="7"/>
  <c r="D4440" i="7"/>
  <c r="D4439" i="7"/>
  <c r="D4438" i="7"/>
  <c r="D4437" i="7"/>
  <c r="D4436" i="7"/>
  <c r="D4435" i="7"/>
  <c r="D4434" i="7"/>
  <c r="D4433" i="7"/>
  <c r="D4432" i="7"/>
  <c r="D4431" i="7"/>
  <c r="D4430" i="7"/>
  <c r="D4429" i="7"/>
  <c r="D4428" i="7"/>
  <c r="D4427" i="7"/>
  <c r="D4426" i="7"/>
  <c r="D4425" i="7"/>
  <c r="D4424" i="7"/>
  <c r="D4423" i="7"/>
  <c r="D4422" i="7"/>
  <c r="D4416" i="7"/>
  <c r="D4415" i="7"/>
  <c r="D4414" i="7"/>
  <c r="D4413" i="7"/>
  <c r="D4412" i="7"/>
  <c r="D4411" i="7"/>
  <c r="D4410" i="7"/>
  <c r="D4409" i="7"/>
  <c r="D4408" i="7"/>
  <c r="D4407" i="7"/>
  <c r="D4406" i="7"/>
  <c r="D4405" i="7"/>
  <c r="D4404" i="7"/>
  <c r="D4403" i="7"/>
  <c r="D4402" i="7"/>
  <c r="D4401" i="7"/>
  <c r="D4400" i="7"/>
  <c r="D4399" i="7"/>
  <c r="D4398" i="7"/>
  <c r="D4397" i="7"/>
  <c r="D4396" i="7"/>
  <c r="D4395" i="7"/>
  <c r="D4394" i="7"/>
  <c r="D4393" i="7"/>
  <c r="D4392" i="7"/>
  <c r="D4391" i="7"/>
  <c r="D4390" i="7"/>
  <c r="D4389" i="7"/>
  <c r="D4388" i="7"/>
  <c r="D4387" i="7"/>
  <c r="D4386" i="7"/>
  <c r="D4385" i="7"/>
  <c r="D4384" i="7"/>
  <c r="D4383" i="7"/>
  <c r="D4382" i="7"/>
  <c r="D4381" i="7"/>
  <c r="D4380" i="7"/>
  <c r="D4379" i="7"/>
  <c r="D4378" i="7"/>
  <c r="D4377" i="7"/>
  <c r="D4376" i="7"/>
  <c r="D4375" i="7"/>
  <c r="D4374" i="7"/>
  <c r="D4373" i="7"/>
  <c r="D4372" i="7"/>
  <c r="D4371" i="7"/>
  <c r="D4370" i="7"/>
  <c r="D4369" i="7"/>
  <c r="D4368" i="7"/>
  <c r="D4367" i="7"/>
  <c r="D4366" i="7"/>
  <c r="D4365" i="7"/>
  <c r="D4364" i="7"/>
  <c r="D4363" i="7"/>
  <c r="D4362" i="7"/>
  <c r="D4361" i="7"/>
  <c r="D4360" i="7"/>
  <c r="D4359" i="7"/>
  <c r="D4358" i="7"/>
  <c r="D4357" i="7"/>
  <c r="D4356" i="7"/>
  <c r="D4355" i="7"/>
  <c r="D4354" i="7"/>
  <c r="D4353" i="7"/>
  <c r="D4352" i="7"/>
  <c r="D4351" i="7"/>
  <c r="D4350" i="7"/>
  <c r="D4349" i="7"/>
  <c r="D4348" i="7"/>
  <c r="D4347" i="7"/>
  <c r="D4346" i="7"/>
  <c r="D4345" i="7"/>
  <c r="D4344" i="7"/>
  <c r="D4343" i="7"/>
  <c r="D4342" i="7"/>
  <c r="D4341" i="7"/>
  <c r="D4340" i="7"/>
  <c r="D4339" i="7"/>
  <c r="D4338" i="7"/>
  <c r="D4337" i="7"/>
  <c r="D4336" i="7"/>
  <c r="D4335" i="7"/>
  <c r="D4334" i="7"/>
  <c r="D4333" i="7"/>
  <c r="D4332" i="7"/>
  <c r="D4331" i="7"/>
  <c r="D4330" i="7"/>
  <c r="D4329" i="7"/>
  <c r="D4328" i="7"/>
  <c r="D4327" i="7"/>
  <c r="D4326" i="7"/>
  <c r="D4325" i="7"/>
  <c r="D4324" i="7"/>
  <c r="D4323" i="7"/>
  <c r="D4322" i="7"/>
  <c r="D4321" i="7"/>
  <c r="D4320" i="7"/>
  <c r="D4319" i="7"/>
  <c r="D4318" i="7"/>
  <c r="D4317" i="7"/>
  <c r="D4316" i="7"/>
  <c r="D4315" i="7"/>
  <c r="D4314" i="7"/>
  <c r="D4313" i="7"/>
  <c r="D4312" i="7"/>
  <c r="D4311" i="7"/>
  <c r="D4310" i="7"/>
  <c r="D4309" i="7"/>
  <c r="D4308" i="7"/>
  <c r="D4307" i="7"/>
  <c r="D4306" i="7"/>
  <c r="D4305" i="7"/>
  <c r="D4304" i="7"/>
  <c r="D4303" i="7"/>
  <c r="D4302" i="7"/>
  <c r="D4301" i="7"/>
  <c r="D4300" i="7"/>
  <c r="D4299" i="7"/>
  <c r="D4298" i="7"/>
  <c r="D4297" i="7"/>
  <c r="D4296" i="7"/>
  <c r="D4295" i="7"/>
  <c r="D4294" i="7"/>
  <c r="D4293" i="7"/>
  <c r="D4292" i="7"/>
  <c r="D4291" i="7"/>
  <c r="D4290" i="7"/>
  <c r="D4289" i="7"/>
  <c r="D4288" i="7"/>
  <c r="D4287" i="7"/>
  <c r="D4286" i="7"/>
  <c r="D4285" i="7"/>
  <c r="D4284" i="7"/>
  <c r="D4283" i="7"/>
  <c r="D4282" i="7"/>
  <c r="D4281" i="7"/>
  <c r="D4280" i="7"/>
  <c r="D4279" i="7"/>
  <c r="D4278" i="7"/>
  <c r="D4277" i="7"/>
  <c r="D4276" i="7"/>
  <c r="D4275" i="7"/>
  <c r="D4274" i="7"/>
  <c r="D4273" i="7"/>
  <c r="D4272" i="7"/>
  <c r="D4271" i="7"/>
  <c r="D4270" i="7"/>
  <c r="D4269" i="7"/>
  <c r="D4268" i="7"/>
  <c r="D4267" i="7"/>
  <c r="D4266" i="7"/>
  <c r="D4265" i="7"/>
  <c r="D4264" i="7"/>
  <c r="D4263" i="7"/>
  <c r="D4262" i="7"/>
  <c r="D4261" i="7"/>
  <c r="D4260" i="7"/>
  <c r="D4259" i="7"/>
  <c r="D4258" i="7"/>
  <c r="D4257" i="7"/>
  <c r="D4256" i="7"/>
  <c r="D4255" i="7"/>
  <c r="D4254" i="7"/>
  <c r="D4253" i="7"/>
  <c r="D4252" i="7"/>
  <c r="D4251" i="7"/>
  <c r="D4250" i="7"/>
  <c r="D4249" i="7"/>
  <c r="D4248" i="7"/>
  <c r="D4247" i="7"/>
  <c r="D4246" i="7"/>
  <c r="D4245" i="7"/>
  <c r="D4244" i="7"/>
  <c r="D4243" i="7"/>
  <c r="D4242" i="7"/>
  <c r="D4241" i="7"/>
  <c r="D4240" i="7"/>
  <c r="D4239" i="7"/>
  <c r="D4238" i="7"/>
  <c r="D4237" i="7"/>
  <c r="D4236" i="7"/>
  <c r="D4235" i="7"/>
  <c r="D4234" i="7"/>
  <c r="D4233" i="7"/>
  <c r="D4232" i="7"/>
  <c r="D4231" i="7"/>
  <c r="D4230" i="7"/>
  <c r="D4229" i="7"/>
  <c r="D4228" i="7"/>
  <c r="D4227" i="7"/>
  <c r="D4226" i="7"/>
  <c r="D4225" i="7"/>
  <c r="D4224" i="7"/>
  <c r="D4223" i="7"/>
  <c r="D4222" i="7"/>
  <c r="D4221" i="7"/>
  <c r="D4220" i="7"/>
  <c r="D4219" i="7"/>
  <c r="D4218" i="7"/>
  <c r="D4217" i="7"/>
  <c r="D4216" i="7"/>
  <c r="D4215" i="7"/>
  <c r="D4214" i="7"/>
  <c r="D4213" i="7"/>
  <c r="D4212" i="7"/>
  <c r="D4211" i="7"/>
  <c r="D4210" i="7"/>
  <c r="D4209" i="7"/>
  <c r="D4208" i="7"/>
  <c r="D4207" i="7"/>
  <c r="D4206" i="7"/>
  <c r="D4205" i="7"/>
  <c r="D4204" i="7"/>
  <c r="D4203" i="7"/>
  <c r="D4202" i="7"/>
  <c r="D4201" i="7"/>
  <c r="D4200" i="7"/>
  <c r="D4199" i="7"/>
  <c r="D4198" i="7"/>
  <c r="D4197" i="7"/>
  <c r="D4196" i="7"/>
  <c r="D4195" i="7"/>
  <c r="D4194" i="7"/>
  <c r="D4193" i="7"/>
  <c r="D4192" i="7"/>
  <c r="D4191" i="7"/>
  <c r="D4190" i="7"/>
  <c r="D4189" i="7"/>
  <c r="D4188" i="7"/>
  <c r="D4187" i="7"/>
  <c r="D4186" i="7"/>
  <c r="D4185" i="7"/>
  <c r="D4184" i="7"/>
  <c r="D4183" i="7"/>
  <c r="D4182" i="7"/>
  <c r="D4181" i="7"/>
  <c r="D4180" i="7"/>
  <c r="D4179" i="7"/>
  <c r="D4178" i="7"/>
  <c r="D4177" i="7"/>
  <c r="D4176" i="7"/>
  <c r="D4175" i="7"/>
  <c r="D4174" i="7"/>
  <c r="D4173" i="7"/>
  <c r="D4172" i="7"/>
  <c r="D4171" i="7"/>
  <c r="D4170" i="7"/>
  <c r="D4169" i="7"/>
  <c r="D4168" i="7"/>
  <c r="D4167" i="7"/>
  <c r="D4166" i="7"/>
  <c r="D4165" i="7"/>
  <c r="D4164" i="7"/>
  <c r="D4163" i="7"/>
  <c r="D4162" i="7"/>
  <c r="D4161" i="7"/>
  <c r="D4160" i="7"/>
  <c r="D4159" i="7"/>
  <c r="D4158" i="7"/>
  <c r="D4157" i="7"/>
  <c r="D4156" i="7"/>
  <c r="D4155" i="7"/>
  <c r="D4154" i="7"/>
  <c r="D4153" i="7"/>
  <c r="D4152" i="7"/>
  <c r="D4151" i="7"/>
  <c r="D4150" i="7"/>
  <c r="D4149" i="7"/>
  <c r="D4148" i="7"/>
  <c r="D4147" i="7"/>
  <c r="D4146" i="7"/>
  <c r="D4145" i="7"/>
  <c r="D4144" i="7"/>
  <c r="D4143" i="7"/>
  <c r="D4142" i="7"/>
  <c r="D4141" i="7"/>
  <c r="D4140" i="7"/>
  <c r="D4139" i="7"/>
  <c r="D4138" i="7"/>
  <c r="D4137" i="7"/>
  <c r="D4136" i="7"/>
  <c r="D4135" i="7"/>
  <c r="D4134" i="7"/>
  <c r="D4133" i="7"/>
  <c r="D4132" i="7"/>
  <c r="D4131" i="7"/>
  <c r="D4130" i="7"/>
  <c r="D4129" i="7"/>
  <c r="D4128" i="7"/>
  <c r="D4127" i="7"/>
  <c r="D4126" i="7"/>
  <c r="D4125" i="7"/>
  <c r="D4124" i="7"/>
  <c r="D4123" i="7"/>
  <c r="D4122" i="7"/>
  <c r="D4121" i="7"/>
  <c r="D4120" i="7"/>
  <c r="D4119" i="7"/>
  <c r="D4118" i="7"/>
  <c r="D4117" i="7"/>
  <c r="D4116" i="7"/>
  <c r="D4115" i="7"/>
  <c r="D4114" i="7"/>
  <c r="D4113" i="7"/>
  <c r="D4112" i="7"/>
  <c r="D4111" i="7"/>
  <c r="D4110" i="7"/>
  <c r="D4109" i="7"/>
  <c r="D4108" i="7"/>
  <c r="D4107" i="7"/>
  <c r="D4106" i="7"/>
  <c r="D4105" i="7"/>
  <c r="D4104" i="7"/>
  <c r="D4103" i="7"/>
  <c r="D4102" i="7"/>
  <c r="D4101" i="7"/>
  <c r="D4100" i="7"/>
  <c r="D4099" i="7"/>
  <c r="D4098" i="7"/>
  <c r="D4097" i="7"/>
  <c r="D4096" i="7"/>
  <c r="D4095" i="7"/>
  <c r="D4094" i="7"/>
  <c r="D4093" i="7"/>
  <c r="D4092" i="7"/>
  <c r="D4091" i="7"/>
  <c r="D4090" i="7"/>
  <c r="D4089" i="7"/>
  <c r="D4088" i="7"/>
  <c r="D4087" i="7"/>
  <c r="D4086" i="7"/>
  <c r="D4085" i="7"/>
  <c r="D4084" i="7"/>
  <c r="D4083" i="7"/>
  <c r="D4082" i="7"/>
  <c r="D4081" i="7"/>
  <c r="D4080" i="7"/>
  <c r="D4079" i="7"/>
  <c r="D4078" i="7"/>
  <c r="D4077" i="7"/>
  <c r="D4076" i="7"/>
  <c r="D4075" i="7"/>
  <c r="D4074" i="7"/>
  <c r="D4073" i="7"/>
  <c r="D4072" i="7"/>
  <c r="D4071" i="7"/>
  <c r="D4070" i="7"/>
  <c r="D4069" i="7"/>
  <c r="D4068" i="7"/>
  <c r="D4067" i="7"/>
  <c r="D4066" i="7"/>
  <c r="D4065" i="7"/>
  <c r="D4064" i="7"/>
  <c r="D4063" i="7"/>
  <c r="D4062" i="7"/>
  <c r="D4061" i="7"/>
  <c r="D4060" i="7"/>
  <c r="D4059" i="7"/>
  <c r="D4058" i="7"/>
  <c r="D4057" i="7"/>
  <c r="D4056" i="7"/>
  <c r="D4055" i="7"/>
  <c r="D4054" i="7"/>
  <c r="D4053" i="7"/>
  <c r="D4052" i="7"/>
  <c r="D4051" i="7"/>
  <c r="D4050" i="7"/>
  <c r="D4049" i="7"/>
  <c r="D4048" i="7"/>
  <c r="D4047" i="7"/>
  <c r="D4046" i="7"/>
  <c r="D4045" i="7"/>
  <c r="D4044" i="7"/>
  <c r="D4043" i="7"/>
  <c r="D4042" i="7"/>
  <c r="D4041" i="7"/>
  <c r="D4040" i="7"/>
  <c r="D4039" i="7"/>
  <c r="D4038" i="7"/>
  <c r="D4037" i="7"/>
  <c r="D4036" i="7"/>
  <c r="D4035" i="7"/>
  <c r="D4034" i="7"/>
  <c r="D4033" i="7"/>
  <c r="D4032" i="7"/>
  <c r="D4031" i="7"/>
  <c r="D4030" i="7"/>
  <c r="D4029" i="7"/>
  <c r="D4028" i="7"/>
  <c r="D4027" i="7"/>
  <c r="D4026" i="7"/>
  <c r="D4025" i="7"/>
  <c r="D4024" i="7"/>
  <c r="D4023" i="7"/>
  <c r="D4022" i="7"/>
  <c r="D4021" i="7"/>
  <c r="D4020" i="7"/>
  <c r="D4019" i="7"/>
  <c r="D4018" i="7"/>
  <c r="D4017" i="7"/>
  <c r="D4016" i="7"/>
  <c r="D4015" i="7"/>
  <c r="D4014" i="7"/>
  <c r="D4013" i="7"/>
  <c r="D4012" i="7"/>
  <c r="D4011" i="7"/>
  <c r="D4010" i="7"/>
  <c r="D4009" i="7"/>
  <c r="D4008" i="7"/>
  <c r="D4007" i="7"/>
  <c r="D4006" i="7"/>
  <c r="D4005" i="7"/>
  <c r="D4004" i="7"/>
  <c r="D4003" i="7"/>
  <c r="D4002" i="7"/>
  <c r="D4001" i="7"/>
  <c r="D4000" i="7"/>
  <c r="D3999" i="7"/>
  <c r="D3998" i="7"/>
  <c r="D3997" i="7"/>
  <c r="D3996" i="7"/>
  <c r="D3995" i="7"/>
  <c r="D3994" i="7"/>
  <c r="D3993" i="7"/>
  <c r="D3992" i="7"/>
  <c r="D3991" i="7"/>
  <c r="D3990" i="7"/>
  <c r="D3989" i="7"/>
  <c r="D3988" i="7"/>
  <c r="D3987" i="7"/>
  <c r="D3986" i="7"/>
  <c r="D3985" i="7"/>
  <c r="D3984" i="7"/>
  <c r="D3983" i="7"/>
  <c r="D3982" i="7"/>
  <c r="D3981" i="7"/>
  <c r="D3980" i="7"/>
  <c r="D3979" i="7"/>
  <c r="D3978" i="7"/>
  <c r="D3977" i="7"/>
  <c r="D3976" i="7"/>
  <c r="D3975" i="7"/>
  <c r="D3974" i="7"/>
  <c r="D3973" i="7"/>
  <c r="D3972" i="7"/>
  <c r="D3971" i="7"/>
  <c r="D3970" i="7"/>
  <c r="D3969" i="7"/>
  <c r="D3968" i="7"/>
  <c r="D3967" i="7"/>
  <c r="D3966" i="7"/>
  <c r="D3965" i="7"/>
  <c r="D3964" i="7"/>
  <c r="D3963" i="7"/>
  <c r="D3962" i="7"/>
  <c r="D3961" i="7"/>
  <c r="D3960" i="7"/>
  <c r="D3959" i="7"/>
  <c r="D3958" i="7"/>
  <c r="D3957" i="7"/>
  <c r="D3956" i="7"/>
  <c r="D3955" i="7"/>
  <c r="D3954" i="7"/>
  <c r="D3953" i="7"/>
  <c r="D3952" i="7"/>
  <c r="D3951" i="7"/>
  <c r="D3950" i="7"/>
  <c r="D3949" i="7"/>
  <c r="D3948" i="7"/>
  <c r="D3947" i="7"/>
  <c r="D3946" i="7"/>
  <c r="D3945" i="7"/>
  <c r="D3944" i="7"/>
  <c r="D3943" i="7"/>
  <c r="D3942" i="7"/>
  <c r="D3941" i="7"/>
  <c r="D3940" i="7"/>
  <c r="D3939" i="7"/>
  <c r="D3938" i="7"/>
  <c r="D3937" i="7"/>
  <c r="D3936" i="7"/>
  <c r="D3935" i="7"/>
  <c r="D3934" i="7"/>
  <c r="D3933" i="7"/>
  <c r="D3932" i="7"/>
  <c r="D3931" i="7"/>
  <c r="D3930" i="7"/>
  <c r="D3929" i="7"/>
  <c r="D3928" i="7"/>
  <c r="D3927" i="7"/>
  <c r="D3926" i="7"/>
  <c r="D3925" i="7"/>
  <c r="D3924" i="7"/>
  <c r="D3923" i="7"/>
  <c r="D3922" i="7"/>
  <c r="D3921" i="7"/>
  <c r="D3920" i="7"/>
  <c r="D3919" i="7"/>
  <c r="D3918" i="7"/>
  <c r="D3917" i="7"/>
  <c r="D3916" i="7"/>
  <c r="D3915" i="7"/>
  <c r="D3914" i="7"/>
  <c r="D3913" i="7"/>
  <c r="D3912" i="7"/>
  <c r="D3911" i="7"/>
  <c r="D3910" i="7"/>
  <c r="D3909" i="7"/>
  <c r="D3908" i="7"/>
  <c r="D3907" i="7"/>
  <c r="D3906" i="7"/>
  <c r="D3905" i="7"/>
  <c r="D3904" i="7"/>
  <c r="D3903" i="7"/>
  <c r="D3902" i="7"/>
  <c r="D3901" i="7"/>
  <c r="D3900" i="7"/>
  <c r="D3899" i="7"/>
  <c r="D3898" i="7"/>
  <c r="D3897" i="7"/>
  <c r="D3896" i="7"/>
  <c r="D3895" i="7"/>
  <c r="D3894" i="7"/>
  <c r="D3893" i="7"/>
  <c r="D3892" i="7"/>
  <c r="D3891" i="7"/>
  <c r="D3890" i="7"/>
  <c r="D3889" i="7"/>
  <c r="D3888" i="7"/>
  <c r="D3887" i="7"/>
  <c r="D3886" i="7"/>
  <c r="D3885" i="7"/>
  <c r="D3884" i="7"/>
  <c r="D3883" i="7"/>
  <c r="D3882" i="7"/>
  <c r="D3881" i="7"/>
  <c r="D3880" i="7"/>
  <c r="D3879" i="7"/>
  <c r="D3878" i="7"/>
  <c r="D3877" i="7"/>
  <c r="D3876" i="7"/>
  <c r="D3875" i="7"/>
  <c r="D3874" i="7"/>
  <c r="D3873" i="7"/>
  <c r="D3872" i="7"/>
  <c r="D3871" i="7"/>
  <c r="D3870" i="7"/>
  <c r="D3869" i="7"/>
  <c r="D3868" i="7"/>
  <c r="D3867" i="7"/>
  <c r="D3866" i="7"/>
  <c r="D3865" i="7"/>
  <c r="D3864" i="7"/>
  <c r="D3863" i="7"/>
  <c r="D3862" i="7"/>
  <c r="D3861" i="7"/>
  <c r="D3860" i="7"/>
  <c r="D3859" i="7"/>
  <c r="D3858" i="7"/>
  <c r="D3857" i="7"/>
  <c r="D3856" i="7"/>
  <c r="D3855" i="7"/>
  <c r="D3854" i="7"/>
  <c r="D3853" i="7"/>
  <c r="D3852" i="7"/>
  <c r="D3851" i="7"/>
  <c r="D3850" i="7"/>
  <c r="D3849" i="7"/>
  <c r="D3848" i="7"/>
  <c r="D3847" i="7"/>
  <c r="D3846" i="7"/>
  <c r="D3845" i="7"/>
  <c r="D3844" i="7"/>
  <c r="D3843" i="7"/>
  <c r="D3842" i="7"/>
  <c r="D3841" i="7"/>
  <c r="D3840" i="7"/>
  <c r="D3839" i="7"/>
  <c r="D3838" i="7"/>
  <c r="D3837" i="7"/>
  <c r="D3836" i="7"/>
  <c r="D3835" i="7"/>
  <c r="D3834" i="7"/>
  <c r="D3833" i="7"/>
  <c r="D3832" i="7"/>
  <c r="D3831" i="7"/>
  <c r="D3830" i="7"/>
  <c r="D3829" i="7"/>
  <c r="D3828" i="7"/>
  <c r="D3827" i="7"/>
  <c r="D3826" i="7"/>
  <c r="D3825" i="7"/>
  <c r="D3824" i="7"/>
  <c r="D3823" i="7"/>
  <c r="D3822" i="7"/>
  <c r="D3821" i="7"/>
  <c r="D3820" i="7"/>
  <c r="D3819" i="7"/>
  <c r="D3818" i="7"/>
  <c r="D3817" i="7"/>
  <c r="D3816" i="7"/>
  <c r="D3815" i="7"/>
  <c r="D3814" i="7"/>
  <c r="D3813" i="7"/>
  <c r="D3812" i="7"/>
  <c r="D3811" i="7"/>
  <c r="D3810" i="7"/>
  <c r="D3809" i="7"/>
  <c r="D3808" i="7"/>
  <c r="D3807" i="7"/>
  <c r="D3806" i="7"/>
  <c r="D3805" i="7"/>
  <c r="D3804" i="7"/>
  <c r="D3803" i="7"/>
  <c r="D3802" i="7"/>
  <c r="D3801" i="7"/>
  <c r="D3800" i="7"/>
  <c r="D3799" i="7"/>
  <c r="D3798" i="7"/>
  <c r="D3797" i="7"/>
  <c r="D3796" i="7"/>
  <c r="D3795" i="7"/>
  <c r="D3794" i="7"/>
  <c r="D3793" i="7"/>
  <c r="D3792" i="7"/>
  <c r="D3791" i="7"/>
  <c r="D3790" i="7"/>
  <c r="D3789" i="7"/>
  <c r="D3788" i="7"/>
  <c r="D3787" i="7"/>
  <c r="D3786" i="7"/>
  <c r="D3785" i="7"/>
  <c r="D3784" i="7"/>
  <c r="D3783" i="7"/>
  <c r="D3782" i="7"/>
  <c r="D3781" i="7"/>
  <c r="D3780" i="7"/>
  <c r="D3779" i="7"/>
  <c r="D3778" i="7"/>
  <c r="D3777" i="7"/>
  <c r="D3776" i="7"/>
  <c r="D3775" i="7"/>
  <c r="D3774" i="7"/>
  <c r="D3773" i="7"/>
  <c r="D3772" i="7"/>
  <c r="D3771" i="7"/>
  <c r="D3770" i="7"/>
  <c r="D3769" i="7"/>
  <c r="D3768" i="7"/>
  <c r="D3767" i="7"/>
  <c r="D3766" i="7"/>
  <c r="D3765" i="7"/>
  <c r="D3764" i="7"/>
  <c r="D3763" i="7"/>
  <c r="D3762" i="7"/>
  <c r="D3761" i="7"/>
  <c r="D3760" i="7"/>
  <c r="D3759" i="7"/>
  <c r="D3758" i="7"/>
  <c r="D3757" i="7"/>
  <c r="D3756" i="7"/>
  <c r="D3755" i="7"/>
  <c r="D3754" i="7"/>
  <c r="D3753" i="7"/>
  <c r="D3752" i="7"/>
  <c r="D3751" i="7"/>
  <c r="D3750" i="7"/>
  <c r="D3749" i="7"/>
  <c r="D3748" i="7"/>
  <c r="D3747" i="7"/>
  <c r="D3746" i="7"/>
  <c r="D3745" i="7"/>
  <c r="D3744" i="7"/>
  <c r="D3743" i="7"/>
  <c r="D3742" i="7"/>
  <c r="D3741" i="7"/>
  <c r="D3740" i="7"/>
  <c r="D3739" i="7"/>
  <c r="D3738" i="7"/>
  <c r="D3737" i="7"/>
  <c r="D3736" i="7"/>
  <c r="D3735" i="7"/>
  <c r="D3734" i="7"/>
  <c r="D3733" i="7"/>
  <c r="D3732" i="7"/>
  <c r="D3731" i="7"/>
  <c r="D3730" i="7"/>
  <c r="D3729" i="7"/>
  <c r="D3728" i="7"/>
  <c r="D3727" i="7"/>
  <c r="D3726" i="7"/>
  <c r="D3725" i="7"/>
  <c r="D3724" i="7"/>
  <c r="D3723" i="7"/>
  <c r="D3722" i="7"/>
  <c r="D3721" i="7"/>
  <c r="D3720" i="7"/>
  <c r="D3719" i="7"/>
  <c r="D3718" i="7"/>
  <c r="D3717" i="7"/>
  <c r="D3716" i="7"/>
  <c r="D3715" i="7"/>
  <c r="D3714" i="7"/>
  <c r="D3713" i="7"/>
  <c r="D3712" i="7"/>
  <c r="D3711" i="7"/>
  <c r="D3710" i="7"/>
  <c r="D3709" i="7"/>
  <c r="D3708" i="7"/>
  <c r="D3707" i="7"/>
  <c r="D3706" i="7"/>
  <c r="D3705" i="7"/>
  <c r="D3704" i="7"/>
  <c r="D3703" i="7"/>
  <c r="D3702" i="7"/>
  <c r="D3701" i="7"/>
  <c r="D3700" i="7"/>
  <c r="D3699" i="7"/>
  <c r="D3698" i="7"/>
  <c r="D3697" i="7"/>
  <c r="D3696" i="7"/>
  <c r="D3695" i="7"/>
  <c r="D3694" i="7"/>
  <c r="D3693" i="7"/>
  <c r="D3692" i="7"/>
  <c r="D3691" i="7"/>
  <c r="D3690" i="7"/>
  <c r="D3689" i="7"/>
  <c r="D3688" i="7"/>
  <c r="D3687" i="7"/>
  <c r="D3686" i="7"/>
  <c r="D3685" i="7"/>
  <c r="D3684" i="7"/>
  <c r="D3683" i="7"/>
  <c r="D3682" i="7"/>
  <c r="D3681" i="7"/>
  <c r="D3680" i="7"/>
  <c r="D3679" i="7"/>
  <c r="D3678" i="7"/>
  <c r="D3677" i="7"/>
  <c r="D3676" i="7"/>
  <c r="D3675" i="7"/>
  <c r="D3674" i="7"/>
  <c r="D3673" i="7"/>
  <c r="D3672" i="7"/>
  <c r="D3671" i="7"/>
  <c r="D3670" i="7"/>
  <c r="D3669" i="7"/>
  <c r="D3668" i="7"/>
  <c r="D3667" i="7"/>
  <c r="D3666" i="7"/>
  <c r="D3665" i="7"/>
  <c r="D3664" i="7"/>
  <c r="D3663" i="7"/>
  <c r="D3662" i="7"/>
  <c r="D3661" i="7"/>
  <c r="D3660" i="7"/>
  <c r="D3659" i="7"/>
  <c r="D3658" i="7"/>
  <c r="D3657" i="7"/>
  <c r="D3656" i="7"/>
  <c r="D3655" i="7"/>
  <c r="D3654" i="7"/>
  <c r="D3653" i="7"/>
  <c r="D3652" i="7"/>
  <c r="D3651" i="7"/>
  <c r="D3650" i="7"/>
  <c r="D3649" i="7"/>
  <c r="D3648" i="7"/>
  <c r="D3647" i="7"/>
  <c r="D3646" i="7"/>
  <c r="D3645" i="7"/>
  <c r="D3644" i="7"/>
  <c r="D3643" i="7"/>
  <c r="D3642" i="7"/>
  <c r="D3641" i="7"/>
  <c r="D3640" i="7"/>
  <c r="D3639" i="7"/>
  <c r="D3638" i="7"/>
  <c r="D3637" i="7"/>
  <c r="D3636" i="7"/>
  <c r="D3635" i="7"/>
  <c r="D3634" i="7"/>
  <c r="D3633" i="7"/>
  <c r="D3632" i="7"/>
  <c r="D3631" i="7"/>
  <c r="D3630" i="7"/>
  <c r="D3629" i="7"/>
  <c r="D3628" i="7"/>
  <c r="D3627" i="7"/>
  <c r="D3626" i="7"/>
  <c r="D3625" i="7"/>
  <c r="D3624" i="7"/>
  <c r="D3623" i="7"/>
  <c r="D3622" i="7"/>
  <c r="D3621" i="7"/>
  <c r="D3620" i="7"/>
  <c r="D3619" i="7"/>
  <c r="D3618" i="7"/>
  <c r="D3617" i="7"/>
  <c r="D3616" i="7"/>
  <c r="D3615" i="7"/>
  <c r="D3614" i="7"/>
  <c r="D3613" i="7"/>
  <c r="D3612" i="7"/>
  <c r="D3611" i="7"/>
  <c r="D3610" i="7"/>
  <c r="D3609" i="7"/>
  <c r="D3608" i="7"/>
  <c r="D3607" i="7"/>
  <c r="D3606" i="7"/>
  <c r="D3605" i="7"/>
  <c r="D3604" i="7"/>
  <c r="D3603" i="7"/>
  <c r="D3602" i="7"/>
  <c r="D3601" i="7"/>
  <c r="D3600" i="7"/>
  <c r="D3599" i="7"/>
  <c r="D3598" i="7"/>
  <c r="D3597" i="7"/>
  <c r="D3596" i="7"/>
  <c r="D3595" i="7"/>
  <c r="D3594" i="7"/>
  <c r="D3593" i="7"/>
  <c r="D3592" i="7"/>
  <c r="D3591" i="7"/>
  <c r="D3590" i="7"/>
  <c r="D3589" i="7"/>
  <c r="D3588" i="7"/>
  <c r="D3587" i="7"/>
  <c r="D3586" i="7"/>
  <c r="D3585" i="7"/>
  <c r="D3584" i="7"/>
  <c r="D3583" i="7"/>
  <c r="D3582" i="7"/>
  <c r="D3581" i="7"/>
  <c r="D3580" i="7"/>
  <c r="D3579" i="7"/>
  <c r="D3578" i="7"/>
  <c r="D3577" i="7"/>
  <c r="D3576" i="7"/>
  <c r="D3575" i="7"/>
  <c r="D3574" i="7"/>
  <c r="D3573" i="7"/>
  <c r="D3572" i="7"/>
  <c r="D3571" i="7"/>
  <c r="D3570" i="7"/>
  <c r="D3569" i="7"/>
  <c r="D3568" i="7"/>
  <c r="D3567" i="7"/>
  <c r="D3566" i="7"/>
  <c r="D3565" i="7"/>
  <c r="D3564" i="7"/>
  <c r="D3563" i="7"/>
  <c r="D3562" i="7"/>
  <c r="D3561" i="7"/>
  <c r="D3560" i="7"/>
  <c r="D3559" i="7"/>
  <c r="D3558" i="7"/>
  <c r="D3557" i="7"/>
  <c r="D3556" i="7"/>
  <c r="D3555" i="7"/>
  <c r="D3554" i="7"/>
  <c r="D3553" i="7"/>
  <c r="D3552" i="7"/>
  <c r="D3551" i="7"/>
  <c r="D3550" i="7"/>
  <c r="D3549" i="7"/>
  <c r="D3548" i="7"/>
  <c r="D3547" i="7"/>
  <c r="D3546" i="7"/>
  <c r="D3545" i="7"/>
  <c r="D3544" i="7"/>
  <c r="D3543" i="7"/>
  <c r="D3542" i="7"/>
  <c r="D3541" i="7"/>
  <c r="D3540" i="7"/>
  <c r="D3539" i="7"/>
  <c r="D3538" i="7"/>
  <c r="D3537" i="7"/>
  <c r="D3536" i="7"/>
  <c r="D3535" i="7"/>
  <c r="D3534" i="7"/>
  <c r="D3533" i="7"/>
  <c r="D3532" i="7"/>
  <c r="D3531" i="7"/>
  <c r="D3530" i="7"/>
  <c r="D3529" i="7"/>
  <c r="D3528" i="7"/>
  <c r="D3527" i="7"/>
  <c r="D3526" i="7"/>
  <c r="D3525" i="7"/>
  <c r="D3524" i="7"/>
  <c r="D3523" i="7"/>
  <c r="D3522" i="7"/>
  <c r="D3521" i="7"/>
  <c r="D3520" i="7"/>
  <c r="D3519" i="7"/>
  <c r="D3518" i="7"/>
  <c r="D3517" i="7"/>
  <c r="D3516" i="7"/>
  <c r="D3515" i="7"/>
  <c r="D3514" i="7"/>
  <c r="D3513" i="7"/>
  <c r="D3512" i="7"/>
  <c r="D3511" i="7"/>
  <c r="D3510" i="7"/>
  <c r="D3509" i="7"/>
  <c r="D3508" i="7"/>
  <c r="D3507" i="7"/>
  <c r="D3506" i="7"/>
  <c r="D3505" i="7"/>
  <c r="D3504" i="7"/>
  <c r="D3503" i="7"/>
  <c r="D3502" i="7"/>
  <c r="D3501" i="7"/>
  <c r="D3500" i="7"/>
  <c r="D3499" i="7"/>
  <c r="D3498" i="7"/>
  <c r="D3497" i="7"/>
  <c r="D3496" i="7"/>
  <c r="D3495" i="7"/>
  <c r="D3494" i="7"/>
  <c r="D3493" i="7"/>
  <c r="D3492" i="7"/>
  <c r="D3491" i="7"/>
  <c r="D3490" i="7"/>
  <c r="D3489" i="7"/>
  <c r="D3488" i="7"/>
  <c r="D3487" i="7"/>
  <c r="D3486" i="7"/>
  <c r="D3485" i="7"/>
  <c r="D3484" i="7"/>
  <c r="D3483" i="7"/>
  <c r="D3482" i="7"/>
  <c r="D3481" i="7"/>
  <c r="D3480" i="7"/>
  <c r="D3479" i="7"/>
  <c r="D3478" i="7"/>
  <c r="D3477" i="7"/>
  <c r="D3476" i="7"/>
  <c r="D3475" i="7"/>
  <c r="D3474" i="7"/>
  <c r="D3473" i="7"/>
  <c r="D3472" i="7"/>
  <c r="D3471" i="7"/>
  <c r="D3470" i="7"/>
  <c r="D3469" i="7"/>
  <c r="D3468" i="7"/>
  <c r="D3467" i="7"/>
  <c r="D3466" i="7"/>
  <c r="D3465" i="7"/>
  <c r="D3464" i="7"/>
  <c r="D3463" i="7"/>
  <c r="D3462" i="7"/>
  <c r="D3461" i="7"/>
  <c r="D3460" i="7"/>
  <c r="D3459" i="7"/>
  <c r="D3458" i="7"/>
  <c r="D3457" i="7"/>
  <c r="D3456" i="7"/>
  <c r="D3455" i="7"/>
  <c r="D3454" i="7"/>
  <c r="D3453" i="7"/>
  <c r="D3452" i="7"/>
  <c r="D3451" i="7"/>
  <c r="D3450" i="7"/>
  <c r="D3449" i="7"/>
  <c r="D3448" i="7"/>
  <c r="D3447" i="7"/>
  <c r="D3446" i="7"/>
  <c r="D3445" i="7"/>
  <c r="D3444" i="7"/>
  <c r="D3443" i="7"/>
  <c r="D3442" i="7"/>
  <c r="D3441" i="7"/>
  <c r="D3440" i="7"/>
  <c r="D3439" i="7"/>
  <c r="D3438" i="7"/>
  <c r="D3437" i="7"/>
  <c r="D3436" i="7"/>
  <c r="D3435" i="7"/>
  <c r="D3434" i="7"/>
  <c r="D3433" i="7"/>
  <c r="D3432" i="7"/>
  <c r="D3431" i="7"/>
  <c r="D3430" i="7"/>
  <c r="D3429" i="7"/>
  <c r="D3428" i="7"/>
  <c r="D3427" i="7"/>
  <c r="D3426" i="7"/>
  <c r="D3425" i="7"/>
  <c r="D3424" i="7"/>
  <c r="D3423" i="7"/>
  <c r="D3422" i="7"/>
  <c r="D3421" i="7"/>
  <c r="D3420" i="7"/>
  <c r="D3419" i="7"/>
  <c r="D3418" i="7"/>
  <c r="D3417" i="7"/>
  <c r="D3416" i="7"/>
  <c r="D3415" i="7"/>
  <c r="D3414" i="7"/>
  <c r="D3413" i="7"/>
  <c r="D3412" i="7"/>
  <c r="D3411" i="7"/>
  <c r="D3410" i="7"/>
  <c r="D3409" i="7"/>
  <c r="D3408" i="7"/>
  <c r="D3407" i="7"/>
  <c r="D3406" i="7"/>
  <c r="D3405" i="7"/>
  <c r="D3404" i="7"/>
  <c r="D3403" i="7"/>
  <c r="D3402" i="7"/>
  <c r="D3401" i="7"/>
  <c r="D3400" i="7"/>
  <c r="D3399" i="7"/>
  <c r="D3398" i="7"/>
  <c r="D3397" i="7"/>
  <c r="D3396" i="7"/>
  <c r="D3395" i="7"/>
  <c r="D3394" i="7"/>
  <c r="D3393" i="7"/>
  <c r="D3392" i="7"/>
  <c r="D3391" i="7"/>
  <c r="D3390" i="7"/>
  <c r="D3389" i="7"/>
  <c r="D3388" i="7"/>
  <c r="D3387" i="7"/>
  <c r="D3386" i="7"/>
  <c r="D3385" i="7"/>
  <c r="D3384" i="7"/>
  <c r="D3383" i="7"/>
  <c r="D3382" i="7"/>
  <c r="D3381" i="7"/>
  <c r="D3380" i="7"/>
  <c r="D3379" i="7"/>
  <c r="D3378" i="7"/>
  <c r="D3377" i="7"/>
  <c r="D3376" i="7"/>
  <c r="D3375" i="7"/>
  <c r="D3374" i="7"/>
  <c r="D3373" i="7"/>
  <c r="D3372" i="7"/>
  <c r="D3371" i="7"/>
  <c r="D3370" i="7"/>
  <c r="D3369" i="7"/>
  <c r="D3368" i="7"/>
  <c r="D3367" i="7"/>
  <c r="D3366" i="7"/>
  <c r="D3365" i="7"/>
  <c r="D3364" i="7"/>
  <c r="D3363" i="7"/>
  <c r="D3362" i="7"/>
  <c r="D3361" i="7"/>
  <c r="D3360" i="7"/>
  <c r="D3359" i="7"/>
  <c r="D3358" i="7"/>
  <c r="D3357" i="7"/>
  <c r="D3356" i="7"/>
  <c r="D3355" i="7"/>
  <c r="D3354" i="7"/>
  <c r="D3353" i="7"/>
  <c r="D3352" i="7"/>
  <c r="D3351" i="7"/>
  <c r="D3350" i="7"/>
  <c r="D3349" i="7"/>
  <c r="D3348" i="7"/>
  <c r="D3347" i="7"/>
  <c r="D3346" i="7"/>
  <c r="D3345" i="7"/>
  <c r="D3344" i="7"/>
  <c r="D3343" i="7"/>
  <c r="D3342" i="7"/>
  <c r="D3341" i="7"/>
  <c r="D3340" i="7"/>
  <c r="D3339" i="7"/>
  <c r="D3338" i="7"/>
  <c r="D3337" i="7"/>
  <c r="D3336" i="7"/>
  <c r="D3335" i="7"/>
  <c r="D3334" i="7"/>
  <c r="D3333" i="7"/>
  <c r="D3332" i="7"/>
  <c r="D3331" i="7"/>
  <c r="D3330" i="7"/>
  <c r="D3329" i="7"/>
  <c r="D3328" i="7"/>
  <c r="D3327" i="7"/>
  <c r="D3326" i="7"/>
  <c r="D3325" i="7"/>
  <c r="D3324" i="7"/>
  <c r="D3323" i="7"/>
  <c r="D3322" i="7"/>
  <c r="D3321" i="7"/>
  <c r="D3320" i="7"/>
  <c r="D3319" i="7"/>
  <c r="D3318" i="7"/>
  <c r="D3317" i="7"/>
  <c r="D3316" i="7"/>
  <c r="D3315" i="7"/>
  <c r="D3314" i="7"/>
  <c r="D3313" i="7"/>
  <c r="D3312" i="7"/>
  <c r="D3311" i="7"/>
  <c r="D3310" i="7"/>
  <c r="D3309" i="7"/>
  <c r="D3308" i="7"/>
  <c r="D3307" i="7"/>
  <c r="D3306" i="7"/>
  <c r="D3305" i="7"/>
  <c r="D3304" i="7"/>
  <c r="D3303" i="7"/>
  <c r="D3302" i="7"/>
  <c r="D3301" i="7"/>
  <c r="D3300" i="7"/>
  <c r="D3299" i="7"/>
  <c r="D3298" i="7"/>
  <c r="D3297" i="7"/>
  <c r="D3296" i="7"/>
  <c r="D3295" i="7"/>
  <c r="D3294" i="7"/>
  <c r="D3293" i="7"/>
  <c r="D3292" i="7"/>
  <c r="D3291" i="7"/>
  <c r="D3290" i="7"/>
  <c r="D3289" i="7"/>
  <c r="D3288" i="7"/>
  <c r="D3287" i="7"/>
  <c r="D3286" i="7"/>
  <c r="D3285" i="7"/>
  <c r="D3284" i="7"/>
  <c r="D3283" i="7"/>
  <c r="D3282" i="7"/>
  <c r="D3281" i="7"/>
  <c r="D3280" i="7"/>
  <c r="D3279" i="7"/>
  <c r="D3278" i="7"/>
  <c r="D3277" i="7"/>
  <c r="D3276" i="7"/>
  <c r="D3275" i="7"/>
  <c r="D3274" i="7"/>
  <c r="D3273" i="7"/>
  <c r="D3272" i="7"/>
  <c r="D3271" i="7"/>
  <c r="D3270" i="7"/>
  <c r="D3269" i="7"/>
  <c r="D3268" i="7"/>
  <c r="D3267" i="7"/>
  <c r="D3266" i="7"/>
  <c r="D3265" i="7"/>
  <c r="D3264" i="7"/>
  <c r="D3263" i="7"/>
  <c r="D3262" i="7"/>
  <c r="D3261" i="7"/>
  <c r="D3260" i="7"/>
  <c r="D3259" i="7"/>
  <c r="D3258" i="7"/>
  <c r="D3257" i="7"/>
  <c r="D3256" i="7"/>
  <c r="D3255" i="7"/>
  <c r="D3254" i="7"/>
  <c r="D3253" i="7"/>
  <c r="D3252" i="7"/>
  <c r="D3251" i="7"/>
  <c r="D3250" i="7"/>
  <c r="D3249" i="7"/>
  <c r="D3248" i="7"/>
  <c r="D3247" i="7"/>
  <c r="D3246" i="7"/>
  <c r="D3245" i="7"/>
  <c r="D3244" i="7"/>
  <c r="D3243" i="7"/>
  <c r="D3242" i="7"/>
  <c r="D3241" i="7"/>
  <c r="D3240" i="7"/>
  <c r="D3239" i="7"/>
  <c r="D3238" i="7"/>
  <c r="D3237" i="7"/>
  <c r="D3236" i="7"/>
  <c r="D3235" i="7"/>
  <c r="D3234" i="7"/>
  <c r="D3233" i="7"/>
  <c r="D3232" i="7"/>
  <c r="D3231" i="7"/>
  <c r="D3230" i="7"/>
  <c r="D3229" i="7"/>
  <c r="D3228" i="7"/>
  <c r="D3227" i="7"/>
  <c r="D3226" i="7"/>
  <c r="D3225" i="7"/>
  <c r="D3224" i="7"/>
  <c r="D3223" i="7"/>
  <c r="D3222" i="7"/>
  <c r="D3221" i="7"/>
  <c r="D3220" i="7"/>
  <c r="D3219" i="7"/>
  <c r="D3218" i="7"/>
  <c r="D3217" i="7"/>
  <c r="D3216" i="7"/>
  <c r="D3215" i="7"/>
  <c r="D3214" i="7"/>
  <c r="D3213" i="7"/>
  <c r="D3212" i="7"/>
  <c r="D3211" i="7"/>
  <c r="D3210" i="7"/>
  <c r="D3209" i="7"/>
  <c r="D3208" i="7"/>
  <c r="D3207" i="7"/>
  <c r="D3206" i="7"/>
  <c r="D3205" i="7"/>
  <c r="D3204" i="7"/>
  <c r="D3203" i="7"/>
  <c r="D3202" i="7"/>
  <c r="D3201" i="7"/>
  <c r="D3200" i="7"/>
  <c r="D3199" i="7"/>
  <c r="D3198" i="7"/>
  <c r="D3197" i="7"/>
  <c r="D3196" i="7"/>
  <c r="D3195" i="7"/>
  <c r="D3194" i="7"/>
  <c r="D3193" i="7"/>
  <c r="D3192" i="7"/>
  <c r="D3191" i="7"/>
  <c r="D3190" i="7"/>
  <c r="D3189" i="7"/>
  <c r="D3188" i="7"/>
  <c r="D3187" i="7"/>
  <c r="D3186" i="7"/>
  <c r="D3185" i="7"/>
  <c r="D3184" i="7"/>
  <c r="D3183" i="7"/>
  <c r="D3182" i="7"/>
  <c r="D3181" i="7"/>
  <c r="D3180" i="7"/>
  <c r="D3179" i="7"/>
  <c r="D3178" i="7"/>
  <c r="D3177" i="7"/>
  <c r="D3176" i="7"/>
  <c r="D3175" i="7"/>
  <c r="D3174" i="7"/>
  <c r="D3173" i="7"/>
  <c r="D3172" i="7"/>
  <c r="D3171" i="7"/>
  <c r="D3170" i="7"/>
  <c r="D3169" i="7"/>
  <c r="D3168" i="7"/>
  <c r="D3167" i="7"/>
  <c r="D3166" i="7"/>
  <c r="D3165" i="7"/>
  <c r="D3164" i="7"/>
  <c r="D3163" i="7"/>
  <c r="D3162" i="7"/>
  <c r="D3161" i="7"/>
  <c r="D3160" i="7"/>
  <c r="D3159" i="7"/>
  <c r="D3158" i="7"/>
  <c r="D3157" i="7"/>
  <c r="D3156" i="7"/>
  <c r="D3155" i="7"/>
  <c r="D3154" i="7"/>
  <c r="D3153" i="7"/>
  <c r="D3152" i="7"/>
  <c r="D3151" i="7"/>
  <c r="D3150" i="7"/>
  <c r="D3149" i="7"/>
  <c r="D3148" i="7"/>
  <c r="D3147" i="7"/>
  <c r="D3146" i="7"/>
  <c r="D3145" i="7"/>
  <c r="D3144" i="7"/>
  <c r="D3143" i="7"/>
  <c r="D3142" i="7"/>
  <c r="D3141" i="7"/>
  <c r="D3140" i="7"/>
  <c r="D3139" i="7"/>
  <c r="D3138" i="7"/>
  <c r="D3137" i="7"/>
  <c r="D3136" i="7"/>
  <c r="D3135" i="7"/>
  <c r="D3134" i="7"/>
  <c r="D3133" i="7"/>
  <c r="D3132" i="7"/>
  <c r="D3131" i="7"/>
  <c r="D3130" i="7"/>
  <c r="D3129" i="7"/>
  <c r="D3128" i="7"/>
  <c r="D3127" i="7"/>
  <c r="D3126" i="7"/>
  <c r="D3125" i="7"/>
  <c r="D3124" i="7"/>
  <c r="D3123" i="7"/>
  <c r="D3122" i="7"/>
  <c r="D3121" i="7"/>
  <c r="D3120" i="7"/>
  <c r="D3119" i="7"/>
  <c r="D3118" i="7"/>
  <c r="D3117" i="7"/>
  <c r="D3116" i="7"/>
  <c r="D3115" i="7"/>
  <c r="D3114" i="7"/>
  <c r="D3113" i="7"/>
  <c r="D3112" i="7"/>
  <c r="D3111" i="7"/>
  <c r="D3110" i="7"/>
  <c r="D3109" i="7"/>
  <c r="D3108" i="7"/>
  <c r="D3107" i="7"/>
  <c r="D3106" i="7"/>
  <c r="D3105" i="7"/>
  <c r="D3104" i="7"/>
  <c r="D3103" i="7"/>
  <c r="D3102" i="7"/>
  <c r="D3101" i="7"/>
  <c r="D3100" i="7"/>
  <c r="D3099" i="7"/>
  <c r="D3098" i="7"/>
  <c r="D3097" i="7"/>
  <c r="D3096" i="7"/>
  <c r="D3095" i="7"/>
  <c r="D3094" i="7"/>
  <c r="D3093" i="7"/>
  <c r="D3092" i="7"/>
  <c r="D3091" i="7"/>
  <c r="D3090" i="7"/>
  <c r="D3089" i="7"/>
  <c r="D3088" i="7"/>
  <c r="D3087" i="7"/>
  <c r="D3086" i="7"/>
  <c r="D3085" i="7"/>
  <c r="D3084" i="7"/>
  <c r="D3083" i="7"/>
  <c r="D3082" i="7"/>
  <c r="D3081" i="7"/>
  <c r="D3080" i="7"/>
  <c r="D3079" i="7"/>
  <c r="D3078" i="7"/>
  <c r="D3077" i="7"/>
  <c r="D3076" i="7"/>
  <c r="D3075" i="7"/>
  <c r="D3074" i="7"/>
  <c r="D3073" i="7"/>
  <c r="D3072" i="7"/>
  <c r="D3071" i="7"/>
  <c r="D3070" i="7"/>
  <c r="D3069" i="7"/>
  <c r="D3068" i="7"/>
  <c r="D3067" i="7"/>
  <c r="D3066" i="7"/>
  <c r="D3065" i="7"/>
  <c r="D3064" i="7"/>
  <c r="D3063" i="7"/>
  <c r="D3062" i="7"/>
  <c r="D3061" i="7"/>
  <c r="D3060" i="7"/>
  <c r="D3059" i="7"/>
  <c r="D3058" i="7"/>
  <c r="D3057" i="7"/>
  <c r="D3056" i="7"/>
  <c r="D3055" i="7"/>
  <c r="D3054" i="7"/>
  <c r="D3053" i="7"/>
  <c r="D3052" i="7"/>
  <c r="D3051" i="7"/>
  <c r="D3050" i="7"/>
  <c r="D3049" i="7"/>
  <c r="D3048" i="7"/>
  <c r="D3047" i="7"/>
  <c r="D3046" i="7"/>
  <c r="D3045" i="7"/>
  <c r="D3044" i="7"/>
  <c r="D3043" i="7"/>
  <c r="D3042" i="7"/>
  <c r="D3041" i="7"/>
  <c r="D3040" i="7"/>
  <c r="D3039" i="7"/>
  <c r="D3038" i="7"/>
  <c r="D3037" i="7"/>
  <c r="D3036" i="7"/>
  <c r="D3035" i="7"/>
  <c r="D3034" i="7"/>
  <c r="D3033" i="7"/>
  <c r="D3032" i="7"/>
  <c r="D3031" i="7"/>
  <c r="D3030" i="7"/>
  <c r="D3029" i="7"/>
  <c r="D3028" i="7"/>
  <c r="D3027" i="7"/>
  <c r="D3026" i="7"/>
  <c r="D3025" i="7"/>
  <c r="D3024" i="7"/>
  <c r="D3023" i="7"/>
  <c r="D3022" i="7"/>
  <c r="D3021" i="7"/>
  <c r="D3020" i="7"/>
  <c r="D3019" i="7"/>
  <c r="D3018" i="7"/>
  <c r="D3017" i="7"/>
  <c r="D3016" i="7"/>
  <c r="D3015" i="7"/>
  <c r="D3014" i="7"/>
  <c r="D3013" i="7"/>
  <c r="D3012" i="7"/>
  <c r="D3011" i="7"/>
  <c r="D3010" i="7"/>
  <c r="D3009" i="7"/>
  <c r="D3008" i="7"/>
  <c r="D3007" i="7"/>
  <c r="D3006" i="7"/>
  <c r="D3005" i="7"/>
  <c r="D3004" i="7"/>
  <c r="D3003" i="7"/>
  <c r="D3002" i="7"/>
  <c r="D3000" i="7"/>
  <c r="D2999" i="7"/>
  <c r="D2998" i="7"/>
  <c r="D2997" i="7"/>
  <c r="D2996" i="7"/>
  <c r="D2995" i="7"/>
  <c r="D2994" i="7"/>
  <c r="D2993" i="7"/>
  <c r="D2992" i="7"/>
  <c r="D2991" i="7"/>
  <c r="D2990" i="7"/>
  <c r="D2989" i="7"/>
  <c r="D2988" i="7"/>
  <c r="D2987" i="7"/>
  <c r="D2986" i="7"/>
  <c r="D2985" i="7"/>
  <c r="D2984" i="7"/>
  <c r="D2983" i="7"/>
  <c r="D2982" i="7"/>
  <c r="D2981" i="7"/>
  <c r="D2980" i="7"/>
  <c r="D2979" i="7"/>
  <c r="D2978" i="7"/>
  <c r="D2977" i="7"/>
  <c r="D2976" i="7"/>
  <c r="D2975" i="7"/>
  <c r="D2974" i="7"/>
  <c r="D2973" i="7"/>
  <c r="D2972" i="7"/>
  <c r="D2971" i="7"/>
  <c r="D2970" i="7"/>
  <c r="D2969" i="7"/>
  <c r="D2968" i="7"/>
  <c r="D2967" i="7"/>
  <c r="D2966" i="7"/>
  <c r="D2965" i="7"/>
  <c r="D2964" i="7"/>
  <c r="D2963" i="7"/>
  <c r="D2962" i="7"/>
  <c r="D2961" i="7"/>
  <c r="D2960" i="7"/>
  <c r="D2959" i="7"/>
  <c r="D2958" i="7"/>
  <c r="D2957" i="7"/>
  <c r="D2956" i="7"/>
  <c r="D2955" i="7"/>
  <c r="D2954" i="7"/>
  <c r="D2953" i="7"/>
  <c r="D2952" i="7"/>
  <c r="D2951" i="7"/>
  <c r="D2950" i="7"/>
  <c r="D2949" i="7"/>
  <c r="D2948" i="7"/>
  <c r="D2947" i="7"/>
  <c r="D2946" i="7"/>
  <c r="D2945" i="7"/>
  <c r="D2944" i="7"/>
  <c r="D2943" i="7"/>
  <c r="D2942" i="7"/>
  <c r="D2941" i="7"/>
  <c r="D2940" i="7"/>
  <c r="D2939" i="7"/>
  <c r="D2938" i="7"/>
  <c r="D2937" i="7"/>
  <c r="D2936" i="7"/>
  <c r="D2935" i="7"/>
  <c r="D2934" i="7"/>
  <c r="D2933" i="7"/>
  <c r="D2932" i="7"/>
  <c r="D2931" i="7"/>
  <c r="D2930" i="7"/>
  <c r="D2929" i="7"/>
  <c r="D2928" i="7"/>
  <c r="D2927" i="7"/>
  <c r="D2926" i="7"/>
  <c r="D2925" i="7"/>
  <c r="D2924" i="7"/>
  <c r="D2923" i="7"/>
  <c r="D2922" i="7"/>
  <c r="D2921" i="7"/>
  <c r="D2920" i="7"/>
  <c r="D2919" i="7"/>
  <c r="D2918" i="7"/>
  <c r="D2917" i="7"/>
  <c r="D2916" i="7"/>
  <c r="D2915" i="7"/>
  <c r="D2914" i="7"/>
  <c r="D2913" i="7"/>
  <c r="D2912" i="7"/>
  <c r="D2911" i="7"/>
  <c r="D2910" i="7"/>
  <c r="D2909" i="7"/>
  <c r="D2908" i="7"/>
  <c r="D2907" i="7"/>
  <c r="D2906" i="7"/>
  <c r="D2905" i="7"/>
  <c r="D2904" i="7"/>
  <c r="D2903" i="7"/>
  <c r="D2902" i="7"/>
  <c r="D2901" i="7"/>
  <c r="D2900" i="7"/>
  <c r="D2899" i="7"/>
  <c r="D2898" i="7"/>
  <c r="D2897" i="7"/>
  <c r="D2896" i="7"/>
  <c r="D2895" i="7"/>
  <c r="D2894" i="7"/>
  <c r="D2893" i="7"/>
  <c r="D2892" i="7"/>
  <c r="D2891" i="7"/>
  <c r="D2890" i="7"/>
  <c r="D2889" i="7"/>
  <c r="D2888" i="7"/>
  <c r="D2887" i="7"/>
  <c r="D2886" i="7"/>
  <c r="D2885" i="7"/>
  <c r="D2884" i="7"/>
  <c r="D2883" i="7"/>
  <c r="D2882" i="7"/>
  <c r="D2881" i="7"/>
  <c r="D2880" i="7"/>
  <c r="D2879" i="7"/>
  <c r="D2878" i="7"/>
  <c r="D2877" i="7"/>
  <c r="D2876" i="7"/>
  <c r="D2875" i="7"/>
  <c r="D2874" i="7"/>
  <c r="D2873" i="7"/>
  <c r="D2872" i="7"/>
  <c r="D2871" i="7"/>
  <c r="D2870" i="7"/>
  <c r="D2869" i="7"/>
  <c r="D2868" i="7"/>
  <c r="D2867" i="7"/>
  <c r="D2866" i="7"/>
  <c r="D2865" i="7"/>
  <c r="D2864" i="7"/>
  <c r="D2863" i="7"/>
  <c r="D2862" i="7"/>
  <c r="D2861" i="7"/>
  <c r="D2860" i="7"/>
  <c r="D2859" i="7"/>
  <c r="D2858" i="7"/>
  <c r="D2857" i="7"/>
  <c r="D2856" i="7"/>
  <c r="D2855" i="7"/>
  <c r="D2854" i="7"/>
  <c r="D2853" i="7"/>
  <c r="D2852" i="7"/>
  <c r="D2851" i="7"/>
  <c r="D2850" i="7"/>
  <c r="D2849" i="7"/>
  <c r="D2848" i="7"/>
  <c r="D2847" i="7"/>
  <c r="D2846" i="7"/>
  <c r="D2845" i="7"/>
  <c r="D2844" i="7"/>
  <c r="D2843" i="7"/>
  <c r="D2842" i="7"/>
  <c r="D2841" i="7"/>
  <c r="D2840" i="7"/>
  <c r="D2839" i="7"/>
  <c r="D2838" i="7"/>
  <c r="D2837" i="7"/>
  <c r="D2836" i="7"/>
  <c r="D2835" i="7"/>
  <c r="D2834" i="7"/>
  <c r="D2833" i="7"/>
  <c r="D2832" i="7"/>
  <c r="D2831" i="7"/>
  <c r="D2830" i="7"/>
  <c r="D2829" i="7"/>
  <c r="D2828" i="7"/>
  <c r="D2827" i="7"/>
  <c r="D2826" i="7"/>
  <c r="D2825" i="7"/>
  <c r="D2824" i="7"/>
  <c r="D2823" i="7"/>
  <c r="D2822" i="7"/>
  <c r="D2821" i="7"/>
  <c r="D2820" i="7"/>
  <c r="D2819" i="7"/>
  <c r="D2818" i="7"/>
  <c r="D2817" i="7"/>
  <c r="D2816" i="7"/>
  <c r="D2815" i="7"/>
  <c r="D2814" i="7"/>
  <c r="D2813" i="7"/>
  <c r="D2812" i="7"/>
  <c r="D2811" i="7"/>
  <c r="D2810" i="7"/>
  <c r="D2809" i="7"/>
  <c r="D2808" i="7"/>
  <c r="D2807" i="7"/>
  <c r="D2806" i="7"/>
  <c r="D2805" i="7"/>
  <c r="D2804" i="7"/>
  <c r="D2803" i="7"/>
  <c r="D2802" i="7"/>
  <c r="D2801" i="7"/>
  <c r="D2800" i="7"/>
  <c r="D2799" i="7"/>
  <c r="D2798" i="7"/>
  <c r="D2797" i="7"/>
  <c r="D2796" i="7"/>
  <c r="D2795" i="7"/>
  <c r="D2794" i="7"/>
  <c r="D2793" i="7"/>
  <c r="D2792" i="7"/>
  <c r="D2791" i="7"/>
  <c r="D2790" i="7"/>
  <c r="D2789" i="7"/>
  <c r="D2788" i="7"/>
  <c r="D2787" i="7"/>
  <c r="D2786" i="7"/>
  <c r="D2785" i="7"/>
  <c r="D2784" i="7"/>
  <c r="D2783" i="7"/>
  <c r="D2782" i="7"/>
  <c r="F2780" i="7"/>
  <c r="F2779" i="7"/>
  <c r="F2778" i="7"/>
  <c r="D2778" i="7"/>
  <c r="F2777" i="7"/>
  <c r="D2777" i="7"/>
  <c r="F2776" i="7"/>
  <c r="D2776" i="7"/>
  <c r="F2775" i="7"/>
  <c r="D2775" i="7"/>
  <c r="F2774" i="7"/>
  <c r="D2774" i="7"/>
  <c r="F2773" i="7"/>
  <c r="D2773" i="7"/>
  <c r="F2772" i="7"/>
  <c r="D2772" i="7"/>
  <c r="F2771" i="7"/>
  <c r="F2770" i="7"/>
  <c r="D2770" i="7"/>
  <c r="F2769" i="7"/>
  <c r="D2769" i="7"/>
  <c r="F2768" i="7"/>
  <c r="D2768" i="7"/>
  <c r="F2767" i="7"/>
  <c r="D2767" i="7"/>
  <c r="F2766" i="7"/>
  <c r="D2766" i="7"/>
  <c r="F2765" i="7"/>
  <c r="D2765" i="7"/>
  <c r="F2764" i="7"/>
  <c r="D2764" i="7"/>
  <c r="F2763" i="7"/>
  <c r="D2763" i="7"/>
  <c r="F2762" i="7"/>
  <c r="D2762" i="7"/>
  <c r="F2761" i="7"/>
  <c r="D2761" i="7"/>
  <c r="F2760" i="7"/>
  <c r="D2760" i="7"/>
  <c r="F2759" i="7"/>
  <c r="D2759" i="7"/>
  <c r="F2758" i="7"/>
  <c r="D2758" i="7"/>
  <c r="F2757" i="7"/>
  <c r="D2757" i="7"/>
  <c r="F2756" i="7"/>
  <c r="D2756" i="7"/>
  <c r="D2755" i="7"/>
  <c r="D2754" i="7"/>
  <c r="D2753" i="7"/>
  <c r="D2752" i="7"/>
  <c r="D2751" i="7"/>
  <c r="D2750" i="7"/>
  <c r="D2749" i="7"/>
  <c r="D2748" i="7"/>
  <c r="D2747" i="7"/>
  <c r="D2746" i="7"/>
  <c r="D2745" i="7"/>
  <c r="D2744" i="7"/>
  <c r="D2743" i="7"/>
  <c r="D2742" i="7"/>
  <c r="D2741" i="7"/>
  <c r="D2740" i="7"/>
  <c r="D2739" i="7"/>
  <c r="D2738" i="7"/>
  <c r="D2737" i="7"/>
  <c r="D2736" i="7"/>
  <c r="D2735" i="7"/>
  <c r="D2734" i="7"/>
  <c r="D2733" i="7"/>
  <c r="D2732" i="7"/>
  <c r="D2731" i="7"/>
  <c r="D2730" i="7"/>
  <c r="D2729" i="7"/>
  <c r="F2728" i="7"/>
  <c r="D2728" i="7"/>
  <c r="F2727" i="7"/>
  <c r="D2727" i="7"/>
  <c r="F2726" i="7"/>
  <c r="D2726" i="7"/>
  <c r="F2725" i="7"/>
  <c r="D2725" i="7"/>
  <c r="F2724" i="7"/>
  <c r="D2724" i="7"/>
  <c r="F2723" i="7"/>
  <c r="D2723" i="7"/>
  <c r="F2722" i="7"/>
  <c r="D2722" i="7"/>
  <c r="F2721" i="7"/>
  <c r="D2721" i="7"/>
  <c r="F2720" i="7"/>
  <c r="D2720" i="7"/>
  <c r="F2719" i="7"/>
  <c r="D2719" i="7"/>
  <c r="F2718" i="7"/>
  <c r="D2718" i="7"/>
  <c r="F2717" i="7"/>
  <c r="D2717" i="7"/>
  <c r="F2716" i="7"/>
  <c r="D2716" i="7"/>
  <c r="F2715" i="7"/>
  <c r="D2715" i="7"/>
  <c r="F2714" i="7"/>
  <c r="D2714" i="7"/>
  <c r="F2713" i="7"/>
  <c r="D2713" i="7"/>
  <c r="F2712" i="7"/>
  <c r="D2712" i="7"/>
  <c r="F2711" i="7"/>
  <c r="D2711" i="7"/>
  <c r="F2710" i="7"/>
  <c r="D2710" i="7"/>
  <c r="D2709" i="7"/>
  <c r="D2708" i="7"/>
  <c r="D2707" i="7"/>
  <c r="D2706" i="7"/>
  <c r="D2705" i="7"/>
  <c r="D2704" i="7"/>
  <c r="D2703" i="7"/>
  <c r="D2702" i="7"/>
  <c r="D2701" i="7"/>
  <c r="D2700" i="7"/>
  <c r="D2699" i="7"/>
  <c r="D2698" i="7"/>
  <c r="D2697" i="7"/>
  <c r="D2696" i="7"/>
  <c r="D2695" i="7"/>
  <c r="D2694" i="7"/>
  <c r="D2693" i="7"/>
  <c r="D2692" i="7"/>
  <c r="D2691" i="7"/>
  <c r="D2690" i="7"/>
  <c r="D2689" i="7"/>
  <c r="F2680" i="7"/>
  <c r="D2680" i="7"/>
  <c r="D2678" i="7"/>
  <c r="D2677" i="7"/>
  <c r="D2676" i="7"/>
  <c r="D2675" i="7"/>
  <c r="D2674" i="7"/>
  <c r="D2673" i="7"/>
  <c r="D2672" i="7"/>
  <c r="D2671" i="7"/>
  <c r="D2670" i="7"/>
  <c r="D2669" i="7"/>
  <c r="D2668" i="7"/>
  <c r="D2667" i="7"/>
  <c r="D2666" i="7"/>
  <c r="D2665" i="7"/>
  <c r="D2664" i="7"/>
  <c r="D2663" i="7"/>
  <c r="D2662" i="7"/>
  <c r="D2661" i="7"/>
  <c r="D2660" i="7"/>
  <c r="D2659" i="7"/>
  <c r="D2658" i="7"/>
  <c r="D2657" i="7"/>
  <c r="D2656" i="7"/>
  <c r="D2655" i="7"/>
  <c r="D2654" i="7"/>
  <c r="D2653" i="7"/>
  <c r="D2652" i="7"/>
  <c r="D2651" i="7"/>
  <c r="D2650" i="7"/>
  <c r="D2649" i="7"/>
  <c r="D2648" i="7"/>
  <c r="D2647" i="7"/>
  <c r="D2646" i="7"/>
  <c r="D2645" i="7"/>
  <c r="D2644" i="7"/>
  <c r="D2643" i="7"/>
  <c r="D2642" i="7"/>
  <c r="D2641" i="7"/>
  <c r="D2640" i="7"/>
  <c r="D2639" i="7"/>
  <c r="D2638" i="7"/>
  <c r="D2637" i="7"/>
  <c r="D2636" i="7"/>
  <c r="D2635" i="7"/>
  <c r="D2634" i="7"/>
  <c r="D2633" i="7"/>
  <c r="D2632" i="7"/>
  <c r="D2631" i="7"/>
  <c r="D2630" i="7"/>
  <c r="D2629" i="7"/>
  <c r="D2628" i="7"/>
  <c r="D2627" i="7"/>
  <c r="D2626" i="7"/>
  <c r="D2625" i="7"/>
  <c r="D2624" i="7"/>
  <c r="D2623" i="7"/>
  <c r="D2622" i="7"/>
  <c r="D2621" i="7"/>
  <c r="D2620" i="7"/>
  <c r="D2619" i="7"/>
  <c r="D2618" i="7"/>
  <c r="D2617" i="7"/>
  <c r="D2616" i="7"/>
  <c r="D2615" i="7"/>
  <c r="D2614" i="7"/>
  <c r="D2613" i="7"/>
  <c r="D2612" i="7"/>
  <c r="D2611" i="7"/>
  <c r="D2610" i="7"/>
  <c r="D2609" i="7"/>
  <c r="D2608" i="7"/>
  <c r="D2607" i="7"/>
  <c r="D2606" i="7"/>
  <c r="D2605" i="7"/>
  <c r="D2604" i="7"/>
  <c r="D2603" i="7"/>
  <c r="D2602" i="7"/>
  <c r="D2601" i="7"/>
  <c r="D2600" i="7"/>
  <c r="D2599" i="7"/>
  <c r="D2598" i="7"/>
  <c r="D2597" i="7"/>
  <c r="D2596" i="7"/>
  <c r="D2595" i="7"/>
  <c r="D2594" i="7"/>
  <c r="D2593" i="7"/>
  <c r="D2592" i="7"/>
  <c r="D2591" i="7"/>
  <c r="D2590" i="7"/>
  <c r="D2589" i="7"/>
  <c r="D2588" i="7"/>
  <c r="D2587" i="7"/>
  <c r="D2586" i="7"/>
  <c r="D2585" i="7"/>
  <c r="D2584" i="7"/>
  <c r="D2583" i="7"/>
  <c r="D2582" i="7"/>
  <c r="D2581" i="7"/>
  <c r="D2580" i="7"/>
  <c r="D2579" i="7"/>
  <c r="D2578" i="7"/>
  <c r="D2577" i="7"/>
  <c r="D2576" i="7"/>
  <c r="D2575" i="7"/>
  <c r="D2574" i="7"/>
  <c r="D2573" i="7"/>
  <c r="D2572" i="7"/>
  <c r="D2571" i="7"/>
  <c r="D2570" i="7"/>
  <c r="D2569" i="7"/>
  <c r="D2568" i="7"/>
  <c r="D2567" i="7"/>
  <c r="D2566" i="7"/>
  <c r="D2565" i="7"/>
  <c r="D2564" i="7"/>
  <c r="D2563" i="7"/>
  <c r="D2562" i="7"/>
  <c r="D2561" i="7"/>
  <c r="D2560" i="7"/>
  <c r="D2559" i="7"/>
  <c r="D2558" i="7"/>
  <c r="D2557" i="7"/>
  <c r="D2556" i="7"/>
  <c r="D2555" i="7"/>
  <c r="D2554" i="7"/>
  <c r="D2553" i="7"/>
  <c r="D2552" i="7"/>
  <c r="D2551" i="7"/>
  <c r="D2550" i="7"/>
  <c r="D2549" i="7"/>
  <c r="D2548" i="7"/>
  <c r="D2547" i="7"/>
  <c r="D2546" i="7"/>
  <c r="D2545" i="7"/>
  <c r="D2544" i="7"/>
  <c r="D2543" i="7"/>
  <c r="D2542" i="7"/>
  <c r="D2541" i="7"/>
  <c r="D2540" i="7"/>
  <c r="D2539" i="7"/>
  <c r="D2538" i="7"/>
  <c r="D2537" i="7"/>
  <c r="D2536" i="7"/>
  <c r="D2535" i="7"/>
  <c r="D2534" i="7"/>
  <c r="D2533" i="7"/>
  <c r="D2532" i="7"/>
  <c r="D2531" i="7"/>
  <c r="D2530" i="7"/>
  <c r="D2529" i="7"/>
  <c r="D2528" i="7"/>
  <c r="D2527" i="7"/>
  <c r="D2526" i="7"/>
  <c r="D2525" i="7"/>
  <c r="D2524" i="7"/>
  <c r="D2523" i="7"/>
  <c r="D2522" i="7"/>
  <c r="D2521" i="7"/>
  <c r="D2520" i="7"/>
  <c r="D2519" i="7"/>
  <c r="D2518" i="7"/>
  <c r="D2517" i="7"/>
  <c r="D2516" i="7"/>
  <c r="D2515" i="7"/>
  <c r="D2514" i="7"/>
  <c r="D2513" i="7"/>
  <c r="D2512" i="7"/>
  <c r="D2511" i="7"/>
  <c r="D2510" i="7"/>
  <c r="D2509" i="7"/>
  <c r="D2508" i="7"/>
  <c r="D2507" i="7"/>
  <c r="D2506" i="7"/>
  <c r="D2505" i="7"/>
  <c r="D2504" i="7"/>
  <c r="D2503" i="7"/>
  <c r="D2502" i="7"/>
  <c r="D2501" i="7"/>
  <c r="D2500" i="7"/>
  <c r="D2499" i="7"/>
  <c r="D2498" i="7"/>
  <c r="D2497" i="7"/>
  <c r="D2496" i="7"/>
  <c r="D2495" i="7"/>
  <c r="D2494" i="7"/>
  <c r="D2493" i="7"/>
  <c r="D2492" i="7"/>
  <c r="D2491" i="7"/>
  <c r="D2490" i="7"/>
  <c r="D2489" i="7"/>
  <c r="D2488" i="7"/>
  <c r="D2487" i="7"/>
  <c r="D2486" i="7"/>
  <c r="D2485" i="7"/>
  <c r="D2484" i="7"/>
  <c r="D2483" i="7"/>
  <c r="D2482" i="7"/>
  <c r="D2481" i="7"/>
  <c r="D2480" i="7"/>
  <c r="D2479" i="7"/>
  <c r="D2478" i="7"/>
  <c r="D2477" i="7"/>
  <c r="D2476" i="7"/>
  <c r="D2475" i="7"/>
  <c r="D2474" i="7"/>
  <c r="D2473" i="7"/>
  <c r="D2472" i="7"/>
  <c r="D2471" i="7"/>
  <c r="D2470" i="7"/>
  <c r="D2469" i="7"/>
  <c r="D2468" i="7"/>
  <c r="D2467" i="7"/>
  <c r="D2466" i="7"/>
  <c r="D2465" i="7"/>
  <c r="D2464" i="7"/>
  <c r="D2463" i="7"/>
  <c r="D2462" i="7"/>
  <c r="D2461" i="7"/>
  <c r="D2460" i="7"/>
  <c r="D2459" i="7"/>
  <c r="D2458" i="7"/>
  <c r="D2457" i="7"/>
  <c r="D2456" i="7"/>
  <c r="D2455" i="7"/>
  <c r="D2454" i="7"/>
  <c r="D2453" i="7"/>
  <c r="D2452" i="7"/>
  <c r="D2451" i="7"/>
  <c r="D2450" i="7"/>
  <c r="D2449" i="7"/>
  <c r="D2448" i="7"/>
  <c r="D2447" i="7"/>
  <c r="D2446" i="7"/>
  <c r="D2445" i="7"/>
  <c r="D2444" i="7"/>
  <c r="D2443" i="7"/>
  <c r="D2442" i="7"/>
  <c r="D2441" i="7"/>
  <c r="D2440" i="7"/>
  <c r="D2439" i="7"/>
  <c r="D2438" i="7"/>
  <c r="D2437" i="7"/>
  <c r="D2436" i="7"/>
  <c r="D2435" i="7"/>
  <c r="D2434" i="7"/>
  <c r="D2433" i="7"/>
  <c r="D2432" i="7"/>
  <c r="D2431" i="7"/>
  <c r="D2430" i="7"/>
  <c r="D2429" i="7"/>
  <c r="D2428" i="7"/>
  <c r="D2427" i="7"/>
  <c r="D2426" i="7"/>
  <c r="D2425" i="7"/>
  <c r="D2424" i="7"/>
  <c r="D2423" i="7"/>
  <c r="D2422" i="7"/>
  <c r="D2421" i="7"/>
  <c r="D2420" i="7"/>
  <c r="D2419" i="7"/>
  <c r="D2418" i="7"/>
  <c r="D2417" i="7"/>
  <c r="D2416" i="7"/>
  <c r="D2415" i="7"/>
  <c r="D2414" i="7"/>
  <c r="D2413" i="7"/>
  <c r="D2412" i="7"/>
  <c r="D2411" i="7"/>
  <c r="D2410" i="7"/>
  <c r="D2409" i="7"/>
  <c r="D2408" i="7"/>
  <c r="D2407" i="7"/>
  <c r="D2406" i="7"/>
  <c r="D2405" i="7"/>
  <c r="D2404" i="7"/>
  <c r="D2403" i="7"/>
  <c r="D2402" i="7"/>
  <c r="D2401" i="7"/>
  <c r="D2400" i="7"/>
  <c r="D2399" i="7"/>
  <c r="D2398" i="7"/>
  <c r="D2397" i="7"/>
  <c r="D2396" i="7"/>
  <c r="D2395" i="7"/>
  <c r="D2394" i="7"/>
  <c r="D2393" i="7"/>
  <c r="D2392" i="7"/>
  <c r="D2391" i="7"/>
  <c r="D2390" i="7"/>
  <c r="D2389" i="7"/>
  <c r="D2388" i="7"/>
  <c r="D2387" i="7"/>
  <c r="D2386" i="7"/>
  <c r="D2385" i="7"/>
  <c r="D2384" i="7"/>
  <c r="D2383" i="7"/>
  <c r="D2382" i="7"/>
  <c r="D2381" i="7"/>
  <c r="D2380" i="7"/>
  <c r="D2379" i="7"/>
  <c r="D2378" i="7"/>
  <c r="D2377" i="7"/>
  <c r="D2376" i="7"/>
  <c r="D2375" i="7"/>
  <c r="D2374" i="7"/>
  <c r="D2373" i="7"/>
  <c r="D2372" i="7"/>
  <c r="D2371" i="7"/>
  <c r="D2370" i="7"/>
  <c r="D2369" i="7"/>
  <c r="D2368" i="7"/>
  <c r="D2367" i="7"/>
  <c r="D2366" i="7"/>
  <c r="D2365" i="7"/>
  <c r="D2364" i="7"/>
  <c r="D2363" i="7"/>
  <c r="D2362" i="7"/>
  <c r="D2361" i="7"/>
  <c r="D2360" i="7"/>
  <c r="D2359" i="7"/>
  <c r="D2358" i="7"/>
  <c r="D2357" i="7"/>
  <c r="D2356" i="7"/>
  <c r="D2355" i="7"/>
  <c r="D2354" i="7"/>
  <c r="D2353" i="7"/>
  <c r="D2352" i="7"/>
  <c r="D2351" i="7"/>
  <c r="D2350" i="7"/>
  <c r="D2349" i="7"/>
  <c r="D2348" i="7"/>
  <c r="D2347" i="7"/>
  <c r="D2346" i="7"/>
  <c r="D2345" i="7"/>
  <c r="D2344" i="7"/>
  <c r="D2343" i="7"/>
  <c r="D2342" i="7"/>
  <c r="D2341" i="7"/>
  <c r="D2340" i="7"/>
  <c r="D2339" i="7"/>
  <c r="D2338" i="7"/>
  <c r="D2337" i="7"/>
  <c r="D2336" i="7"/>
  <c r="D2335" i="7"/>
  <c r="D2334" i="7"/>
  <c r="D2333" i="7"/>
  <c r="D2332" i="7"/>
  <c r="D2331" i="7"/>
  <c r="D2330" i="7"/>
  <c r="D2329" i="7"/>
  <c r="D2328" i="7"/>
  <c r="D2327" i="7"/>
  <c r="D2326" i="7"/>
  <c r="D2325" i="7"/>
  <c r="D2324" i="7"/>
  <c r="D2323" i="7"/>
  <c r="D2322" i="7"/>
  <c r="D2321" i="7"/>
  <c r="D2320" i="7"/>
  <c r="D2319" i="7"/>
  <c r="D2318" i="7"/>
  <c r="D2317" i="7"/>
  <c r="D2316" i="7"/>
  <c r="D2315" i="7"/>
  <c r="D2314" i="7"/>
  <c r="D2313" i="7"/>
  <c r="D2312" i="7"/>
  <c r="D2311" i="7"/>
  <c r="D2310" i="7"/>
  <c r="D2309" i="7"/>
  <c r="D2308" i="7"/>
  <c r="D2307" i="7"/>
  <c r="D2306" i="7"/>
  <c r="D2305" i="7"/>
  <c r="D2304" i="7"/>
  <c r="D2303" i="7"/>
  <c r="D2302" i="7"/>
  <c r="D2301" i="7"/>
  <c r="D2300" i="7"/>
  <c r="D2299" i="7"/>
  <c r="D2298" i="7"/>
  <c r="D2297" i="7"/>
  <c r="D2296" i="7"/>
  <c r="D2295" i="7"/>
  <c r="D2294" i="7"/>
  <c r="D2293" i="7"/>
  <c r="D2292" i="7"/>
  <c r="D2291" i="7"/>
  <c r="D2290" i="7"/>
  <c r="D2289" i="7"/>
  <c r="D2288" i="7"/>
  <c r="D2287" i="7"/>
  <c r="D2286" i="7"/>
  <c r="D2285" i="7"/>
  <c r="D2284" i="7"/>
  <c r="D2283" i="7"/>
  <c r="D2282" i="7"/>
  <c r="D2281" i="7"/>
  <c r="D2280" i="7"/>
  <c r="D2279" i="7"/>
  <c r="D2278" i="7"/>
  <c r="D2277" i="7"/>
  <c r="D2276" i="7"/>
  <c r="D2275" i="7"/>
  <c r="D2274" i="7"/>
  <c r="D2273" i="7"/>
  <c r="D2272" i="7"/>
  <c r="D2271" i="7"/>
  <c r="D2270" i="7"/>
  <c r="D2269" i="7"/>
  <c r="D2268" i="7"/>
  <c r="D2267" i="7"/>
  <c r="D2266" i="7"/>
  <c r="D2265" i="7"/>
  <c r="D2264" i="7"/>
  <c r="D2263" i="7"/>
  <c r="D2262" i="7"/>
  <c r="D2261" i="7"/>
  <c r="D2260" i="7"/>
  <c r="D2259" i="7"/>
  <c r="D2258" i="7"/>
  <c r="D2257" i="7"/>
  <c r="D2256" i="7"/>
  <c r="D2255" i="7"/>
  <c r="D2254" i="7"/>
  <c r="D2253" i="7"/>
  <c r="D2252" i="7"/>
  <c r="D2251" i="7"/>
  <c r="D2250" i="7"/>
  <c r="D2249" i="7"/>
  <c r="D2248" i="7"/>
  <c r="D2247" i="7"/>
  <c r="D2246" i="7"/>
  <c r="D2245" i="7"/>
  <c r="D2244" i="7"/>
  <c r="D2243" i="7"/>
  <c r="D2242" i="7"/>
  <c r="D2241" i="7"/>
  <c r="D2240" i="7"/>
  <c r="D2239" i="7"/>
  <c r="D2238" i="7"/>
  <c r="D2237" i="7"/>
  <c r="D2236" i="7"/>
  <c r="D2235" i="7"/>
  <c r="D2234" i="7"/>
  <c r="D2233" i="7"/>
  <c r="D2232" i="7"/>
  <c r="D2231" i="7"/>
  <c r="D2230" i="7"/>
  <c r="D2229" i="7"/>
  <c r="D2228" i="7"/>
  <c r="D2227" i="7"/>
  <c r="D2226" i="7"/>
  <c r="D2225" i="7"/>
  <c r="D2224" i="7"/>
  <c r="D2223" i="7"/>
  <c r="D2222" i="7"/>
  <c r="D2221" i="7"/>
  <c r="D2220" i="7"/>
  <c r="D2219" i="7"/>
  <c r="D2218" i="7"/>
  <c r="D2217" i="7"/>
  <c r="D2216" i="7"/>
  <c r="D2215" i="7"/>
  <c r="D2214" i="7"/>
  <c r="D2213" i="7"/>
  <c r="D2212" i="7"/>
  <c r="D2211" i="7"/>
  <c r="D2210" i="7"/>
  <c r="D2209" i="7"/>
  <c r="D2208" i="7"/>
  <c r="D2207" i="7"/>
  <c r="D2206" i="7"/>
  <c r="D2205" i="7"/>
  <c r="D2204" i="7"/>
  <c r="D2203" i="7"/>
  <c r="D2202" i="7"/>
  <c r="D2201" i="7"/>
  <c r="D2200" i="7"/>
  <c r="D2199" i="7"/>
  <c r="D2198" i="7"/>
  <c r="D2197" i="7"/>
  <c r="D2196" i="7"/>
  <c r="D2195" i="7"/>
  <c r="D2194" i="7"/>
  <c r="D2193" i="7"/>
  <c r="D2192" i="7"/>
  <c r="D2191" i="7"/>
  <c r="D2190" i="7"/>
  <c r="D2189" i="7"/>
  <c r="D2188" i="7"/>
  <c r="D2187" i="7"/>
  <c r="D2186" i="7"/>
  <c r="D2185" i="7"/>
  <c r="D2184" i="7"/>
  <c r="D2183" i="7"/>
  <c r="D2182" i="7"/>
  <c r="D2181" i="7"/>
  <c r="D2180" i="7"/>
  <c r="D2179" i="7"/>
  <c r="D2178" i="7"/>
  <c r="D2177" i="7"/>
  <c r="D2176" i="7"/>
  <c r="D2175" i="7"/>
  <c r="D2174" i="7"/>
  <c r="D2173" i="7"/>
  <c r="D2172" i="7"/>
  <c r="D2171" i="7"/>
  <c r="D2170" i="7"/>
  <c r="D2169" i="7"/>
  <c r="D2168" i="7"/>
  <c r="D2167" i="7"/>
  <c r="D2166" i="7"/>
  <c r="D2165" i="7"/>
  <c r="D2164" i="7"/>
  <c r="D2163" i="7"/>
  <c r="D2162" i="7"/>
  <c r="D2161" i="7"/>
  <c r="D2160" i="7"/>
  <c r="D2159" i="7"/>
  <c r="D2158" i="7"/>
  <c r="D2157" i="7"/>
  <c r="D2156" i="7"/>
  <c r="D2155" i="7"/>
  <c r="D2154" i="7"/>
  <c r="D2153" i="7"/>
  <c r="D2152" i="7"/>
  <c r="D2151" i="7"/>
  <c r="D2150" i="7"/>
  <c r="D2149" i="7"/>
  <c r="D2148" i="7"/>
  <c r="D2147" i="7"/>
  <c r="D2146" i="7"/>
  <c r="D2145" i="7"/>
  <c r="D2144" i="7"/>
  <c r="D2143" i="7"/>
  <c r="D2142" i="7"/>
  <c r="D2141" i="7"/>
  <c r="D2140" i="7"/>
  <c r="D2139" i="7"/>
  <c r="D2138" i="7"/>
  <c r="D2137" i="7"/>
  <c r="D2136" i="7"/>
  <c r="D2135" i="7"/>
  <c r="D2134" i="7"/>
  <c r="D2133" i="7"/>
  <c r="D2132" i="7"/>
  <c r="D2131" i="7"/>
  <c r="D2130" i="7"/>
  <c r="D2129" i="7"/>
  <c r="D2128" i="7"/>
  <c r="D2127" i="7"/>
  <c r="D2126" i="7"/>
  <c r="D2125" i="7"/>
  <c r="D2124" i="7"/>
  <c r="D2123" i="7"/>
  <c r="D2122" i="7"/>
  <c r="D2121" i="7"/>
  <c r="D2120" i="7"/>
  <c r="D2119" i="7"/>
  <c r="D2118" i="7"/>
  <c r="D2117" i="7"/>
  <c r="D2116" i="7"/>
  <c r="D2115" i="7"/>
  <c r="D2114" i="7"/>
  <c r="D2113" i="7"/>
  <c r="D2112" i="7"/>
  <c r="D2111" i="7"/>
  <c r="D2110" i="7"/>
  <c r="D2109" i="7"/>
  <c r="D2108" i="7"/>
  <c r="D2107" i="7"/>
  <c r="D2106" i="7"/>
  <c r="D2105" i="7"/>
  <c r="D2104" i="7"/>
  <c r="D2103" i="7"/>
  <c r="D2102" i="7"/>
  <c r="D2101" i="7"/>
  <c r="D2100" i="7"/>
  <c r="D2099" i="7"/>
  <c r="D2098" i="7"/>
  <c r="D2097" i="7"/>
  <c r="D2096" i="7"/>
  <c r="D2095" i="7"/>
  <c r="D2094" i="7"/>
  <c r="D2093" i="7"/>
  <c r="D2092" i="7"/>
  <c r="D2091" i="7"/>
  <c r="D2090" i="7"/>
  <c r="D2089" i="7"/>
  <c r="D2088" i="7"/>
  <c r="D2087" i="7"/>
  <c r="D2086" i="7"/>
  <c r="D2085" i="7"/>
  <c r="D2084" i="7"/>
  <c r="D2083" i="7"/>
  <c r="D2082" i="7"/>
  <c r="D2081" i="7"/>
  <c r="D2080" i="7"/>
  <c r="D2079" i="7"/>
  <c r="D2078" i="7"/>
  <c r="D2077" i="7"/>
  <c r="D2076" i="7"/>
  <c r="D2075" i="7"/>
  <c r="D2074" i="7"/>
  <c r="D2073" i="7"/>
  <c r="D2072" i="7"/>
  <c r="D2071" i="7"/>
  <c r="D2070" i="7"/>
  <c r="D2069" i="7"/>
  <c r="D2068" i="7"/>
  <c r="D2067" i="7"/>
  <c r="D2066" i="7"/>
  <c r="D2065" i="7"/>
  <c r="D2064" i="7"/>
  <c r="D2063" i="7"/>
  <c r="D2062" i="7"/>
  <c r="D2061" i="7"/>
  <c r="D2060" i="7"/>
  <c r="D2059" i="7"/>
  <c r="D2058" i="7"/>
  <c r="D2057" i="7"/>
  <c r="D2056" i="7"/>
  <c r="D2055" i="7"/>
  <c r="D2054" i="7"/>
  <c r="D2053" i="7"/>
  <c r="D2052" i="7"/>
  <c r="D2051" i="7"/>
  <c r="D2050" i="7"/>
  <c r="D2049" i="7"/>
  <c r="D2048" i="7"/>
  <c r="D2047" i="7"/>
  <c r="D2046" i="7"/>
  <c r="D2045" i="7"/>
  <c r="D2044" i="7"/>
  <c r="D2043" i="7"/>
  <c r="D2042" i="7"/>
  <c r="D2041" i="7"/>
  <c r="D2040" i="7"/>
  <c r="D2039" i="7"/>
  <c r="D2038" i="7"/>
  <c r="D2037" i="7"/>
  <c r="D2036" i="7"/>
  <c r="D2035" i="7"/>
  <c r="D2034" i="7"/>
  <c r="D2033" i="7"/>
  <c r="D2032" i="7"/>
  <c r="D2031" i="7"/>
  <c r="D2030" i="7"/>
  <c r="D2029" i="7"/>
  <c r="D2028" i="7"/>
  <c r="D2027" i="7"/>
  <c r="D2026" i="7"/>
  <c r="D2025" i="7"/>
  <c r="D2024" i="7"/>
  <c r="D2023" i="7"/>
  <c r="D2022" i="7"/>
  <c r="D2021" i="7"/>
  <c r="D2020" i="7"/>
  <c r="D2019" i="7"/>
  <c r="D2018" i="7"/>
  <c r="D2017" i="7"/>
  <c r="D2016" i="7"/>
  <c r="D2015" i="7"/>
  <c r="D2014" i="7"/>
  <c r="D2013" i="7"/>
  <c r="D2012" i="7"/>
  <c r="D2011" i="7"/>
  <c r="D2010" i="7"/>
  <c r="D2009" i="7"/>
  <c r="D2008" i="7"/>
  <c r="D2007" i="7"/>
  <c r="D2006" i="7"/>
  <c r="D2005" i="7"/>
  <c r="D2004" i="7"/>
  <c r="D2003" i="7"/>
  <c r="D2002" i="7"/>
  <c r="D2001" i="7"/>
  <c r="D2000" i="7"/>
  <c r="D1999" i="7"/>
  <c r="D1998" i="7"/>
  <c r="D1997" i="7"/>
  <c r="D1996" i="7"/>
  <c r="D1995" i="7"/>
  <c r="D1994" i="7"/>
  <c r="D1993" i="7"/>
  <c r="D1992" i="7"/>
  <c r="D1991" i="7"/>
  <c r="D1990" i="7"/>
  <c r="D1989" i="7"/>
  <c r="D1988" i="7"/>
  <c r="D1987" i="7"/>
  <c r="D1986" i="7"/>
  <c r="D1985" i="7"/>
  <c r="D1984" i="7"/>
  <c r="D1983" i="7"/>
  <c r="D1982" i="7"/>
  <c r="D1981" i="7"/>
  <c r="D1980" i="7"/>
  <c r="D1979" i="7"/>
  <c r="D1978" i="7"/>
  <c r="D1977" i="7"/>
  <c r="D1976" i="7"/>
  <c r="D1975" i="7"/>
  <c r="D1974" i="7"/>
  <c r="D1973" i="7"/>
  <c r="D1972" i="7"/>
  <c r="D1971" i="7"/>
  <c r="D1970" i="7"/>
  <c r="D1969" i="7"/>
  <c r="D1968" i="7"/>
  <c r="D1967" i="7"/>
  <c r="D1966" i="7"/>
  <c r="D1965" i="7"/>
  <c r="D1964" i="7"/>
  <c r="D1963" i="7"/>
  <c r="D1962" i="7"/>
  <c r="D1961" i="7"/>
  <c r="D1960" i="7"/>
  <c r="D1959" i="7"/>
  <c r="D1958" i="7"/>
  <c r="D1957" i="7"/>
  <c r="D1956" i="7"/>
  <c r="D1955" i="7"/>
  <c r="D1954" i="7"/>
  <c r="D1953" i="7"/>
  <c r="D1952" i="7"/>
  <c r="D1951" i="7"/>
  <c r="D1950" i="7"/>
  <c r="D1949" i="7"/>
  <c r="D1948" i="7"/>
  <c r="D1947" i="7"/>
  <c r="D1946" i="7"/>
  <c r="D1945" i="7"/>
  <c r="D1944" i="7"/>
  <c r="D1943" i="7"/>
  <c r="D1942" i="7"/>
  <c r="D1941" i="7"/>
  <c r="D1940" i="7"/>
  <c r="D1939" i="7"/>
  <c r="D1938" i="7"/>
  <c r="D1937" i="7"/>
  <c r="D1936" i="7"/>
  <c r="D1935" i="7"/>
  <c r="D1934" i="7"/>
  <c r="D1933" i="7"/>
  <c r="D1932" i="7"/>
  <c r="D1931" i="7"/>
  <c r="D1930" i="7"/>
  <c r="D1929" i="7"/>
  <c r="D1928" i="7"/>
  <c r="D1927" i="7"/>
  <c r="D1926" i="7"/>
  <c r="D1925" i="7"/>
  <c r="D1924" i="7"/>
  <c r="D1923" i="7"/>
  <c r="D1922" i="7"/>
  <c r="D1921" i="7"/>
  <c r="D1920" i="7"/>
  <c r="D1919" i="7"/>
  <c r="D1918" i="7"/>
  <c r="D1917" i="7"/>
  <c r="D1916" i="7"/>
  <c r="D1915" i="7"/>
  <c r="D1914" i="7"/>
  <c r="D1913" i="7"/>
  <c r="D1912" i="7"/>
  <c r="D1911" i="7"/>
  <c r="D1910" i="7"/>
  <c r="D1909" i="7"/>
  <c r="D1908" i="7"/>
  <c r="D1907" i="7"/>
  <c r="D1906" i="7"/>
  <c r="D1905" i="7"/>
  <c r="D1904" i="7"/>
  <c r="D1903" i="7"/>
  <c r="D1902" i="7"/>
  <c r="D1901" i="7"/>
  <c r="D1900" i="7"/>
  <c r="D1899" i="7"/>
  <c r="D1898" i="7"/>
  <c r="D1897" i="7"/>
  <c r="D1896" i="7"/>
  <c r="D1895" i="7"/>
  <c r="D1894" i="7"/>
  <c r="D1893" i="7"/>
  <c r="D1892" i="7"/>
  <c r="D1891" i="7"/>
  <c r="D1890" i="7"/>
  <c r="D1889" i="7"/>
  <c r="D1888" i="7"/>
  <c r="D1887" i="7"/>
  <c r="D1886" i="7"/>
  <c r="D1885" i="7"/>
  <c r="D1884" i="7"/>
  <c r="D1883" i="7"/>
  <c r="D1882" i="7"/>
  <c r="D1881" i="7"/>
  <c r="D1880" i="7"/>
  <c r="D1879" i="7"/>
  <c r="D1878" i="7"/>
  <c r="D1877" i="7"/>
  <c r="D1876" i="7"/>
  <c r="D1875" i="7"/>
  <c r="D1874" i="7"/>
  <c r="D1873" i="7"/>
  <c r="D1872" i="7"/>
  <c r="D1871" i="7"/>
  <c r="D1870" i="7"/>
  <c r="D1869" i="7"/>
  <c r="D1868" i="7"/>
  <c r="D1867" i="7"/>
  <c r="D1866" i="7"/>
  <c r="D1865" i="7"/>
  <c r="D1864" i="7"/>
  <c r="D1863" i="7"/>
  <c r="D1862" i="7"/>
  <c r="D1861" i="7"/>
  <c r="D1860" i="7"/>
  <c r="D1859" i="7"/>
  <c r="D1858" i="7"/>
  <c r="D1857" i="7"/>
  <c r="D1856" i="7"/>
  <c r="D1855" i="7"/>
  <c r="D1854" i="7"/>
  <c r="D1853" i="7"/>
  <c r="D1852" i="7"/>
  <c r="D1851" i="7"/>
  <c r="D1850" i="7"/>
  <c r="D1849" i="7"/>
  <c r="D1848" i="7"/>
  <c r="D1847" i="7"/>
  <c r="D1846" i="7"/>
  <c r="D1845" i="7"/>
  <c r="D1844" i="7"/>
  <c r="D1843" i="7"/>
  <c r="D1842" i="7"/>
  <c r="D1841" i="7"/>
  <c r="D1840" i="7"/>
  <c r="D1839" i="7"/>
  <c r="D1838" i="7"/>
  <c r="D1837" i="7"/>
  <c r="D1836" i="7"/>
  <c r="D1835" i="7"/>
  <c r="D1834" i="7"/>
  <c r="D1833" i="7"/>
  <c r="D1832" i="7"/>
  <c r="D1831" i="7"/>
  <c r="D1830" i="7"/>
  <c r="D1829" i="7"/>
  <c r="D1828" i="7"/>
  <c r="D1827" i="7"/>
  <c r="D1826" i="7"/>
  <c r="D1825" i="7"/>
  <c r="D1824" i="7"/>
  <c r="D1823" i="7"/>
  <c r="D1822" i="7"/>
  <c r="D1821" i="7"/>
  <c r="D1820" i="7"/>
  <c r="D1819" i="7"/>
  <c r="D1818" i="7"/>
  <c r="D1817" i="7"/>
  <c r="D1816" i="7"/>
  <c r="D1815" i="7"/>
  <c r="D1814" i="7"/>
  <c r="D1813" i="7"/>
  <c r="D1812" i="7"/>
  <c r="D1811" i="7"/>
  <c r="D1810" i="7"/>
  <c r="D1809" i="7"/>
  <c r="D1808" i="7"/>
  <c r="D1807" i="7"/>
  <c r="D1806" i="7"/>
  <c r="D1805" i="7"/>
  <c r="D1804" i="7"/>
  <c r="D1803" i="7"/>
  <c r="D1802" i="7"/>
  <c r="D1801" i="7"/>
  <c r="D1800" i="7"/>
  <c r="D1799" i="7"/>
  <c r="D1798" i="7"/>
  <c r="D1797" i="7"/>
  <c r="D1796" i="7"/>
  <c r="D1795" i="7"/>
  <c r="D1794" i="7"/>
  <c r="D1793" i="7"/>
  <c r="D1792" i="7"/>
  <c r="D1791" i="7"/>
  <c r="D1790" i="7"/>
  <c r="D1789" i="7"/>
  <c r="D1788" i="7"/>
  <c r="D1787" i="7"/>
  <c r="D1786" i="7"/>
  <c r="D1785" i="7"/>
  <c r="D1784" i="7"/>
  <c r="D1783" i="7"/>
  <c r="D1782" i="7"/>
  <c r="D1781" i="7"/>
  <c r="D1780" i="7"/>
  <c r="D1779" i="7"/>
  <c r="D1778" i="7"/>
  <c r="D1777" i="7"/>
  <c r="D1776" i="7"/>
  <c r="D1775" i="7"/>
  <c r="D1774" i="7"/>
  <c r="D1773" i="7"/>
  <c r="D1772" i="7"/>
  <c r="D1771" i="7"/>
  <c r="D1770" i="7"/>
  <c r="D1769" i="7"/>
  <c r="D1768" i="7"/>
  <c r="D1767" i="7"/>
  <c r="D1766" i="7"/>
  <c r="D1765" i="7"/>
  <c r="D1764" i="7"/>
  <c r="D1763" i="7"/>
  <c r="D1762" i="7"/>
  <c r="D1761" i="7"/>
  <c r="D1760" i="7"/>
  <c r="D1759" i="7"/>
  <c r="D1758" i="7"/>
  <c r="D1757" i="7"/>
  <c r="D1756" i="7"/>
  <c r="D1755" i="7"/>
  <c r="D1754" i="7"/>
  <c r="D1753" i="7"/>
  <c r="D1752" i="7"/>
  <c r="D1751" i="7"/>
  <c r="D1750" i="7"/>
  <c r="D1749" i="7"/>
  <c r="D1748" i="7"/>
  <c r="D1747" i="7"/>
  <c r="D1746" i="7"/>
  <c r="D1745" i="7"/>
  <c r="D1744" i="7"/>
  <c r="D1743" i="7"/>
  <c r="D1742" i="7"/>
  <c r="D1741" i="7"/>
  <c r="D1740" i="7"/>
  <c r="D1739" i="7"/>
  <c r="D1738" i="7"/>
  <c r="D1737" i="7"/>
  <c r="D1736" i="7"/>
  <c r="D1735" i="7"/>
  <c r="D1734" i="7"/>
  <c r="D1733" i="7"/>
  <c r="D1732" i="7"/>
  <c r="D1731" i="7"/>
  <c r="D1730" i="7"/>
  <c r="D1729" i="7"/>
  <c r="D1728" i="7"/>
  <c r="D1727" i="7"/>
  <c r="D1726" i="7"/>
  <c r="D1725" i="7"/>
  <c r="D1724" i="7"/>
  <c r="D1723" i="7"/>
  <c r="D1722" i="7"/>
  <c r="D1721" i="7"/>
  <c r="D1720" i="7"/>
  <c r="D1719" i="7"/>
  <c r="D1718" i="7"/>
  <c r="D1717" i="7"/>
  <c r="D1716" i="7"/>
  <c r="D1715" i="7"/>
  <c r="D1714" i="7"/>
  <c r="D1713" i="7"/>
  <c r="D1712" i="7"/>
  <c r="D1711" i="7"/>
  <c r="D1710" i="7"/>
  <c r="D1709" i="7"/>
  <c r="D1708" i="7"/>
  <c r="D1707" i="7"/>
  <c r="D1706" i="7"/>
  <c r="D1705" i="7"/>
  <c r="D1704" i="7"/>
  <c r="D1703" i="7"/>
  <c r="D1702" i="7"/>
  <c r="D1701" i="7"/>
  <c r="D1700" i="7"/>
  <c r="D1699" i="7"/>
  <c r="D1698" i="7"/>
  <c r="D1697" i="7"/>
  <c r="D1696" i="7"/>
  <c r="D1695" i="7"/>
  <c r="D1694" i="7"/>
  <c r="D1693" i="7"/>
  <c r="D1692" i="7"/>
  <c r="D1691" i="7"/>
  <c r="D1690" i="7"/>
  <c r="D1689" i="7"/>
  <c r="D1688" i="7"/>
  <c r="D1687" i="7"/>
  <c r="D1686" i="7"/>
  <c r="D1685" i="7"/>
  <c r="D1684" i="7"/>
  <c r="D1683" i="7"/>
  <c r="D1682" i="7"/>
  <c r="D1681" i="7"/>
  <c r="D1680" i="7"/>
  <c r="D1679" i="7"/>
  <c r="D1678" i="7"/>
  <c r="D1677" i="7"/>
  <c r="D1676" i="7"/>
  <c r="D1675" i="7"/>
  <c r="D1674" i="7"/>
  <c r="D1673" i="7"/>
  <c r="D1672" i="7"/>
  <c r="D1671" i="7"/>
  <c r="D1670" i="7"/>
  <c r="D1669" i="7"/>
  <c r="D1668" i="7"/>
  <c r="D1667" i="7"/>
  <c r="D1666" i="7"/>
  <c r="D1665" i="7"/>
  <c r="D1664" i="7"/>
  <c r="D1663" i="7"/>
  <c r="D1662" i="7"/>
  <c r="D1661" i="7"/>
  <c r="D1660" i="7"/>
  <c r="D1659" i="7"/>
  <c r="D1658" i="7"/>
  <c r="D1657" i="7"/>
  <c r="D1656" i="7"/>
  <c r="D1655" i="7"/>
  <c r="D1654" i="7"/>
  <c r="D1653" i="7"/>
  <c r="D1652" i="7"/>
  <c r="D1651" i="7"/>
  <c r="D1650" i="7"/>
  <c r="D1649" i="7"/>
  <c r="D1648" i="7"/>
  <c r="D1647" i="7"/>
  <c r="D1646" i="7"/>
  <c r="D1645" i="7"/>
  <c r="D1644" i="7"/>
  <c r="D1643" i="7"/>
  <c r="D1642" i="7"/>
  <c r="D1641" i="7"/>
  <c r="D1640" i="7"/>
  <c r="D1639" i="7"/>
  <c r="D1638" i="7"/>
  <c r="D1637" i="7"/>
  <c r="D1636" i="7"/>
  <c r="D1635" i="7"/>
  <c r="D1634" i="7"/>
  <c r="D1633" i="7"/>
  <c r="D1632" i="7"/>
  <c r="D1631" i="7"/>
  <c r="D1630" i="7"/>
  <c r="D1629" i="7"/>
  <c r="D1628" i="7"/>
  <c r="D1627" i="7"/>
  <c r="D1626" i="7"/>
  <c r="D1625" i="7"/>
  <c r="D1624" i="7"/>
  <c r="D1623" i="7"/>
  <c r="D1622" i="7"/>
  <c r="D1621" i="7"/>
  <c r="D1620" i="7"/>
  <c r="D1619" i="7"/>
  <c r="D1618" i="7"/>
  <c r="D1617" i="7"/>
  <c r="D1616" i="7"/>
  <c r="D1615" i="7"/>
  <c r="D1614" i="7"/>
  <c r="D1613" i="7"/>
  <c r="D1612" i="7"/>
  <c r="D1611" i="7"/>
  <c r="D1610" i="7"/>
  <c r="D1609" i="7"/>
  <c r="D1608" i="7"/>
  <c r="D1607" i="7"/>
  <c r="D1606" i="7"/>
  <c r="D1605" i="7"/>
  <c r="D1604" i="7"/>
  <c r="D1603" i="7"/>
  <c r="D1602" i="7"/>
  <c r="D1601" i="7"/>
  <c r="D1600" i="7"/>
  <c r="D1599" i="7"/>
  <c r="D1598" i="7"/>
  <c r="D1597" i="7"/>
  <c r="D1596" i="7"/>
  <c r="D1595" i="7"/>
  <c r="D1594" i="7"/>
  <c r="D1593" i="7"/>
  <c r="D1592" i="7"/>
  <c r="D1591" i="7"/>
  <c r="D1590" i="7"/>
  <c r="D1589" i="7"/>
  <c r="D1588" i="7"/>
  <c r="D1587" i="7"/>
  <c r="D1586" i="7"/>
  <c r="D1585" i="7"/>
  <c r="D1584" i="7"/>
  <c r="D1583" i="7"/>
  <c r="D1582" i="7"/>
  <c r="D1581" i="7"/>
  <c r="D1580" i="7"/>
  <c r="D1579" i="7"/>
  <c r="D1578" i="7"/>
  <c r="D1577" i="7"/>
  <c r="D1576" i="7"/>
  <c r="D1575" i="7"/>
  <c r="D1574" i="7"/>
  <c r="D1573" i="7"/>
  <c r="D1572" i="7"/>
  <c r="D1571" i="7"/>
  <c r="D1570" i="7"/>
  <c r="D1569" i="7"/>
  <c r="D1568" i="7"/>
  <c r="D1567" i="7"/>
  <c r="D1566" i="7"/>
  <c r="D1565" i="7"/>
  <c r="D1564" i="7"/>
  <c r="D1563" i="7"/>
  <c r="D1562" i="7"/>
  <c r="D1561" i="7"/>
  <c r="D1560" i="7"/>
  <c r="D1559" i="7"/>
  <c r="D1558" i="7"/>
  <c r="D1557" i="7"/>
  <c r="D1556" i="7"/>
  <c r="D1555" i="7"/>
  <c r="D1554" i="7"/>
  <c r="D1553" i="7"/>
  <c r="D1552" i="7"/>
  <c r="D1551" i="7"/>
  <c r="D1550" i="7"/>
  <c r="D1549" i="7"/>
  <c r="D1548" i="7"/>
  <c r="D1547" i="7"/>
  <c r="D1546" i="7"/>
  <c r="D1545" i="7"/>
  <c r="D1544" i="7"/>
  <c r="D1543" i="7"/>
  <c r="D1542" i="7"/>
  <c r="D1541" i="7"/>
  <c r="D1540" i="7"/>
  <c r="D1539" i="7"/>
  <c r="D1538" i="7"/>
  <c r="D1537" i="7"/>
  <c r="D1536" i="7"/>
  <c r="D1535" i="7"/>
  <c r="D1534" i="7"/>
  <c r="D1533" i="7"/>
  <c r="D1532" i="7"/>
  <c r="D1531" i="7"/>
  <c r="D1530" i="7"/>
  <c r="D1529" i="7"/>
  <c r="D1528" i="7"/>
  <c r="D1527" i="7"/>
  <c r="D1526" i="7"/>
  <c r="D1525" i="7"/>
  <c r="D1524" i="7"/>
  <c r="D1523" i="7"/>
  <c r="D1522" i="7"/>
  <c r="D1521" i="7"/>
  <c r="D1520" i="7"/>
  <c r="D1519" i="7"/>
  <c r="D1518" i="7"/>
  <c r="D1517" i="7"/>
  <c r="D1516" i="7"/>
  <c r="D1515" i="7"/>
  <c r="D1514" i="7"/>
  <c r="D1513" i="7"/>
  <c r="D1512" i="7"/>
  <c r="D1511" i="7"/>
  <c r="D1510" i="7"/>
  <c r="D1509" i="7"/>
  <c r="D1508" i="7"/>
  <c r="D1507" i="7"/>
  <c r="D1506" i="7"/>
  <c r="D1505" i="7"/>
  <c r="D1504" i="7"/>
  <c r="D1503" i="7"/>
  <c r="D1502" i="7"/>
  <c r="D1501" i="7"/>
  <c r="D1500" i="7"/>
  <c r="D1499" i="7"/>
  <c r="D1498" i="7"/>
  <c r="D1497" i="7"/>
  <c r="D1496" i="7"/>
  <c r="D1495" i="7"/>
  <c r="D1494" i="7"/>
  <c r="D1493" i="7"/>
  <c r="D1492" i="7"/>
  <c r="D1491" i="7"/>
  <c r="D1490" i="7"/>
  <c r="D1489" i="7"/>
  <c r="D1488" i="7"/>
  <c r="D1487" i="7"/>
  <c r="D1486" i="7"/>
  <c r="D1485" i="7"/>
  <c r="D1484" i="7"/>
  <c r="D1483" i="7"/>
  <c r="D1482" i="7"/>
  <c r="D1481" i="7"/>
  <c r="D1480" i="7"/>
  <c r="D1479" i="7"/>
  <c r="D1478" i="7"/>
  <c r="D1477" i="7"/>
  <c r="D1476" i="7"/>
  <c r="D1475" i="7"/>
  <c r="D1474" i="7"/>
  <c r="D1473" i="7"/>
  <c r="D1472" i="7"/>
  <c r="D1471" i="7"/>
  <c r="D1470" i="7"/>
  <c r="D1469" i="7"/>
  <c r="D1468" i="7"/>
  <c r="D1467" i="7"/>
  <c r="D1466" i="7"/>
  <c r="D1465" i="7"/>
  <c r="D1464" i="7"/>
  <c r="D1463" i="7"/>
  <c r="D1462" i="7"/>
  <c r="D1461" i="7"/>
  <c r="D1460" i="7"/>
  <c r="D1459" i="7"/>
  <c r="D1458" i="7"/>
  <c r="D1457" i="7"/>
  <c r="D1456" i="7"/>
  <c r="D1455" i="7"/>
  <c r="D1454" i="7"/>
  <c r="D1453" i="7"/>
  <c r="D1452" i="7"/>
  <c r="D1451" i="7"/>
  <c r="D1450" i="7"/>
  <c r="D1449" i="7"/>
  <c r="D1448" i="7"/>
  <c r="D1447" i="7"/>
  <c r="D1446" i="7"/>
  <c r="D1445" i="7"/>
  <c r="D1444" i="7"/>
  <c r="D1443" i="7"/>
  <c r="D1442" i="7"/>
  <c r="D1441" i="7"/>
  <c r="D1440" i="7"/>
  <c r="D1439" i="7"/>
  <c r="D1438" i="7"/>
  <c r="D1437" i="7"/>
  <c r="D1436" i="7"/>
  <c r="D1435" i="7"/>
  <c r="D1434" i="7"/>
  <c r="D1433" i="7"/>
  <c r="D1432" i="7"/>
  <c r="D1431" i="7"/>
  <c r="D1430" i="7"/>
  <c r="D1429" i="7"/>
  <c r="D1428" i="7"/>
  <c r="D1427" i="7"/>
  <c r="D1426" i="7"/>
  <c r="D1425" i="7"/>
  <c r="D1424" i="7"/>
  <c r="D1423" i="7"/>
  <c r="D1422" i="7"/>
  <c r="D1421" i="7"/>
  <c r="D1420" i="7"/>
  <c r="D1419" i="7"/>
  <c r="D1418" i="7"/>
  <c r="D1417" i="7"/>
  <c r="D1416" i="7"/>
  <c r="D1415" i="7"/>
  <c r="D1414" i="7"/>
  <c r="D1413" i="7"/>
  <c r="D1412" i="7"/>
  <c r="D1411" i="7"/>
  <c r="D1410" i="7"/>
  <c r="D1409" i="7"/>
  <c r="D1408" i="7"/>
  <c r="D1407" i="7"/>
  <c r="D1406" i="7"/>
  <c r="D1405" i="7"/>
  <c r="D1404" i="7"/>
  <c r="D1403" i="7"/>
  <c r="D1402" i="7"/>
  <c r="D1401" i="7"/>
  <c r="D1400" i="7"/>
  <c r="D1399" i="7"/>
  <c r="D1398" i="7"/>
  <c r="D1397" i="7"/>
  <c r="D1396" i="7"/>
  <c r="D1395" i="7"/>
  <c r="D1394" i="7"/>
  <c r="D1393" i="7"/>
  <c r="D1392" i="7"/>
  <c r="D1391" i="7"/>
  <c r="D1390" i="7"/>
  <c r="D1389" i="7"/>
  <c r="D1388" i="7"/>
  <c r="D1387" i="7"/>
  <c r="D1386" i="7"/>
  <c r="D1385" i="7"/>
  <c r="D1384" i="7"/>
  <c r="D1383" i="7"/>
  <c r="D1382" i="7"/>
  <c r="D1381" i="7"/>
  <c r="D1380" i="7"/>
  <c r="D1379" i="7"/>
  <c r="D1378" i="7"/>
  <c r="D1377" i="7"/>
  <c r="D1376" i="7"/>
  <c r="D1375" i="7"/>
  <c r="D1374" i="7"/>
  <c r="D1373" i="7"/>
  <c r="D1372" i="7"/>
  <c r="D1371" i="7"/>
  <c r="D1370" i="7"/>
  <c r="D1369" i="7"/>
  <c r="D1368" i="7"/>
  <c r="D1367" i="7"/>
  <c r="D1366" i="7"/>
  <c r="D1365" i="7"/>
  <c r="D1364" i="7"/>
  <c r="D1363" i="7"/>
  <c r="D1362" i="7"/>
  <c r="D1361" i="7"/>
  <c r="D1360" i="7"/>
  <c r="D1359" i="7"/>
  <c r="D1358" i="7"/>
  <c r="D1357" i="7"/>
  <c r="D1356" i="7"/>
  <c r="D1355" i="7"/>
  <c r="D1354" i="7"/>
  <c r="D1353" i="7"/>
  <c r="D1352" i="7"/>
  <c r="D1351" i="7"/>
  <c r="D1350" i="7"/>
  <c r="D1349" i="7"/>
  <c r="D1348" i="7"/>
  <c r="D1347" i="7"/>
  <c r="D1346" i="7"/>
  <c r="D1345" i="7"/>
  <c r="D1344" i="7"/>
  <c r="D1343" i="7"/>
  <c r="D1342" i="7"/>
  <c r="D1341" i="7"/>
  <c r="D1340" i="7"/>
  <c r="D1339" i="7"/>
  <c r="D1338" i="7"/>
  <c r="D1337" i="7"/>
  <c r="D1336" i="7"/>
  <c r="D1335" i="7"/>
  <c r="D1334" i="7"/>
  <c r="D1333" i="7"/>
  <c r="D1332" i="7"/>
  <c r="D1331" i="7"/>
  <c r="D1330" i="7"/>
  <c r="D1329" i="7"/>
  <c r="D1328" i="7"/>
  <c r="D1327" i="7"/>
  <c r="D1326" i="7"/>
  <c r="D1325" i="7"/>
  <c r="D1324" i="7"/>
  <c r="D1323" i="7"/>
  <c r="D1322" i="7"/>
  <c r="D1321" i="7"/>
  <c r="D1320" i="7"/>
  <c r="D1319" i="7"/>
  <c r="D1318" i="7"/>
  <c r="D1317" i="7"/>
  <c r="D1316" i="7"/>
  <c r="D1315" i="7"/>
  <c r="D1314" i="7"/>
  <c r="D1313" i="7"/>
  <c r="D1312" i="7"/>
  <c r="D1311" i="7"/>
  <c r="D1310" i="7"/>
  <c r="D1309" i="7"/>
  <c r="D1308" i="7"/>
  <c r="D1307" i="7"/>
  <c r="D1306" i="7"/>
  <c r="D1305" i="7"/>
  <c r="D1304" i="7"/>
  <c r="D1303" i="7"/>
  <c r="D1302" i="7"/>
  <c r="D1301" i="7"/>
  <c r="D1300" i="7"/>
  <c r="D1299" i="7"/>
  <c r="D1298" i="7"/>
  <c r="D1297" i="7"/>
  <c r="D1296" i="7"/>
  <c r="D1295" i="7"/>
  <c r="D1294" i="7"/>
  <c r="D1293" i="7"/>
  <c r="D1292" i="7"/>
  <c r="D1291" i="7"/>
  <c r="D1290" i="7"/>
  <c r="D1289" i="7"/>
  <c r="D1288" i="7"/>
  <c r="D1287" i="7"/>
  <c r="D1286" i="7"/>
  <c r="D1285" i="7"/>
  <c r="D1284" i="7"/>
  <c r="D1283" i="7"/>
  <c r="D1282" i="7"/>
  <c r="D1281" i="7"/>
  <c r="D1280" i="7"/>
  <c r="D1279" i="7"/>
  <c r="D1278" i="7"/>
  <c r="D1277" i="7"/>
  <c r="D1276" i="7"/>
  <c r="D1275" i="7"/>
  <c r="D1274" i="7"/>
  <c r="D1273" i="7"/>
  <c r="D1272" i="7"/>
  <c r="D1271" i="7"/>
  <c r="D1270" i="7"/>
  <c r="D1269" i="7"/>
  <c r="D1268" i="7"/>
  <c r="D1267" i="7"/>
  <c r="D1266" i="7"/>
  <c r="D1265" i="7"/>
  <c r="D1264" i="7"/>
  <c r="D1263" i="7"/>
  <c r="D1262" i="7"/>
  <c r="D1261" i="7"/>
  <c r="D1260" i="7"/>
  <c r="D1259" i="7"/>
  <c r="D1258" i="7"/>
  <c r="D1257" i="7"/>
  <c r="D1256" i="7"/>
  <c r="D1255" i="7"/>
  <c r="D1254" i="7"/>
  <c r="D1253" i="7"/>
  <c r="D1252" i="7"/>
  <c r="D1251" i="7"/>
  <c r="D1250" i="7"/>
  <c r="D1249" i="7"/>
  <c r="D1248" i="7"/>
  <c r="D1247" i="7"/>
  <c r="D1246" i="7"/>
  <c r="D1245" i="7"/>
  <c r="D1244" i="7"/>
  <c r="D1243" i="7"/>
  <c r="D1242" i="7"/>
  <c r="D1241" i="7"/>
  <c r="D1240" i="7"/>
  <c r="D1239" i="7"/>
  <c r="D1238" i="7"/>
  <c r="D1237" i="7"/>
  <c r="D1236" i="7"/>
  <c r="D1235" i="7"/>
  <c r="D1234" i="7"/>
  <c r="D1233" i="7"/>
  <c r="D1232" i="7"/>
  <c r="D1231" i="7"/>
  <c r="D1230" i="7"/>
  <c r="D1229" i="7"/>
  <c r="D1228" i="7"/>
  <c r="D1227" i="7"/>
  <c r="D1226" i="7"/>
  <c r="D1225" i="7"/>
  <c r="D1224" i="7"/>
  <c r="D1223" i="7"/>
  <c r="D1222" i="7"/>
  <c r="D1221" i="7"/>
  <c r="D1220" i="7"/>
  <c r="D1219" i="7"/>
  <c r="D1218" i="7"/>
  <c r="D1217" i="7"/>
  <c r="D1216" i="7"/>
  <c r="D1215" i="7"/>
  <c r="D1214" i="7"/>
  <c r="D1213" i="7"/>
  <c r="D1212" i="7"/>
  <c r="D1211" i="7"/>
  <c r="D1210" i="7"/>
  <c r="D1209" i="7"/>
  <c r="D1208" i="7"/>
  <c r="D1207" i="7"/>
  <c r="D1206" i="7"/>
  <c r="D1205" i="7"/>
  <c r="D1204" i="7"/>
  <c r="D1203" i="7"/>
  <c r="D1202" i="7"/>
  <c r="D1201" i="7"/>
  <c r="D1200" i="7"/>
  <c r="D1199" i="7"/>
  <c r="D1198" i="7"/>
  <c r="D1197" i="7"/>
  <c r="D1196" i="7"/>
  <c r="D1195" i="7"/>
  <c r="D1194" i="7"/>
  <c r="D1193" i="7"/>
  <c r="D1192" i="7"/>
  <c r="D1191" i="7"/>
  <c r="D1190" i="7"/>
  <c r="D1189" i="7"/>
  <c r="D1188" i="7"/>
  <c r="D1187" i="7"/>
  <c r="D1186" i="7"/>
  <c r="D1185" i="7"/>
  <c r="D1184" i="7"/>
  <c r="D1183" i="7"/>
  <c r="D1182" i="7"/>
  <c r="D1181" i="7"/>
  <c r="D1180" i="7"/>
  <c r="D1179" i="7"/>
  <c r="D1178" i="7"/>
  <c r="D1177" i="7"/>
  <c r="D1176" i="7"/>
  <c r="D1175" i="7"/>
  <c r="D1174" i="7"/>
  <c r="D1173" i="7"/>
  <c r="D1172" i="7"/>
  <c r="D1171" i="7"/>
  <c r="D1170" i="7"/>
  <c r="D1169" i="7"/>
  <c r="D1168" i="7"/>
  <c r="D1167" i="7"/>
  <c r="D1166" i="7"/>
  <c r="D1165" i="7"/>
  <c r="D1164" i="7"/>
  <c r="D1163" i="7"/>
  <c r="D1162" i="7"/>
  <c r="D1161" i="7"/>
  <c r="D1160" i="7"/>
  <c r="D1159" i="7"/>
  <c r="D1158" i="7"/>
  <c r="D1157" i="7"/>
  <c r="D1156" i="7"/>
  <c r="D1155" i="7"/>
  <c r="D1154" i="7"/>
  <c r="D1153" i="7"/>
  <c r="D1152" i="7"/>
  <c r="D1151" i="7"/>
  <c r="D1150" i="7"/>
  <c r="D1149" i="7"/>
  <c r="D1148" i="7"/>
  <c r="D1147" i="7"/>
  <c r="D1146" i="7"/>
  <c r="D1145" i="7"/>
  <c r="D1144" i="7"/>
  <c r="D1143" i="7"/>
  <c r="D1142" i="7"/>
  <c r="D1141" i="7"/>
  <c r="D1140" i="7"/>
  <c r="D1139" i="7"/>
  <c r="D1138" i="7"/>
  <c r="D1137" i="7"/>
  <c r="D1136" i="7"/>
  <c r="D1135" i="7"/>
  <c r="D1134" i="7"/>
  <c r="D1133" i="7"/>
  <c r="D1132" i="7"/>
  <c r="D1131" i="7"/>
  <c r="D1130" i="7"/>
  <c r="D1129" i="7"/>
  <c r="D1128" i="7"/>
  <c r="D1127" i="7"/>
  <c r="D1126" i="7"/>
  <c r="D1125" i="7"/>
  <c r="D1124" i="7"/>
  <c r="D1123" i="7"/>
  <c r="D1122" i="7"/>
  <c r="D1121" i="7"/>
  <c r="D1120" i="7"/>
  <c r="D1119" i="7"/>
  <c r="D1118" i="7"/>
  <c r="D1117" i="7"/>
  <c r="D1116" i="7"/>
  <c r="D1115" i="7"/>
  <c r="D1114" i="7"/>
  <c r="D1113" i="7"/>
  <c r="D1112" i="7"/>
  <c r="D1111" i="7"/>
  <c r="D1110" i="7"/>
  <c r="D1109" i="7"/>
  <c r="D1108" i="7"/>
  <c r="D1107" i="7"/>
  <c r="D1106" i="7"/>
  <c r="D1105" i="7"/>
  <c r="D1104" i="7"/>
  <c r="D1103" i="7"/>
  <c r="D1102" i="7"/>
  <c r="D1101" i="7"/>
  <c r="D1100" i="7"/>
  <c r="D1099" i="7"/>
  <c r="D1098" i="7"/>
  <c r="D1097" i="7"/>
  <c r="D1096" i="7"/>
  <c r="D1095" i="7"/>
  <c r="D1094" i="7"/>
  <c r="D1093" i="7"/>
  <c r="D1092" i="7"/>
  <c r="D1091" i="7"/>
  <c r="D1090" i="7"/>
  <c r="D1089" i="7"/>
  <c r="D1088" i="7"/>
  <c r="D1087" i="7"/>
  <c r="D1086" i="7"/>
  <c r="D1085" i="7"/>
  <c r="D1084" i="7"/>
  <c r="D1083" i="7"/>
  <c r="D1082" i="7"/>
  <c r="D1081" i="7"/>
  <c r="D1080" i="7"/>
  <c r="D1079" i="7"/>
  <c r="D1078" i="7"/>
  <c r="D1077" i="7"/>
  <c r="D1076" i="7"/>
  <c r="D1075" i="7"/>
  <c r="D1074" i="7"/>
  <c r="D1073" i="7"/>
  <c r="D1072" i="7"/>
  <c r="D1071" i="7"/>
  <c r="D1070" i="7"/>
  <c r="D1069" i="7"/>
  <c r="D1068" i="7"/>
  <c r="D1067" i="7"/>
  <c r="D1066" i="7"/>
  <c r="D1065" i="7"/>
  <c r="D1064" i="7"/>
  <c r="D1063" i="7"/>
  <c r="D1062" i="7"/>
  <c r="D1061" i="7"/>
  <c r="D1060" i="7"/>
  <c r="D1059" i="7"/>
  <c r="D1058" i="7"/>
  <c r="D1057" i="7"/>
  <c r="D1056" i="7"/>
  <c r="D1055" i="7"/>
  <c r="D1054" i="7"/>
  <c r="D1053" i="7"/>
  <c r="D1052" i="7"/>
  <c r="D1051" i="7"/>
  <c r="D1050" i="7"/>
  <c r="D1049" i="7"/>
  <c r="D1048" i="7"/>
  <c r="D1047" i="7"/>
  <c r="D1046" i="7"/>
  <c r="D1045" i="7"/>
  <c r="D1044" i="7"/>
  <c r="D1043" i="7"/>
  <c r="D1042" i="7"/>
  <c r="D1041" i="7"/>
  <c r="D1040" i="7"/>
  <c r="D1039" i="7"/>
  <c r="D1038" i="7"/>
  <c r="D1037" i="7"/>
  <c r="D1036" i="7"/>
  <c r="D1035" i="7"/>
  <c r="D1034" i="7"/>
  <c r="D1033" i="7"/>
  <c r="D1032" i="7"/>
  <c r="D1031" i="7"/>
  <c r="D1030" i="7"/>
  <c r="D1029" i="7"/>
  <c r="D1028" i="7"/>
  <c r="D1027" i="7"/>
  <c r="D1026" i="7"/>
  <c r="D1025" i="7"/>
  <c r="D1024" i="7"/>
  <c r="D1023" i="7"/>
  <c r="D1022" i="7"/>
  <c r="D1021" i="7"/>
  <c r="D1020" i="7"/>
  <c r="D1019" i="7"/>
  <c r="D1018" i="7"/>
  <c r="D1017" i="7"/>
  <c r="D1016" i="7"/>
  <c r="D1015" i="7"/>
  <c r="D1014" i="7"/>
  <c r="D1013" i="7"/>
  <c r="D1012" i="7"/>
  <c r="D1011" i="7"/>
  <c r="D1010" i="7"/>
  <c r="D1009" i="7"/>
  <c r="D1008" i="7"/>
  <c r="D1007" i="7"/>
  <c r="D1006" i="7"/>
  <c r="D1005" i="7"/>
  <c r="D1004" i="7"/>
  <c r="D1003" i="7"/>
  <c r="D1002" i="7"/>
  <c r="D1001" i="7"/>
  <c r="D1000" i="7"/>
  <c r="D999" i="7"/>
  <c r="D998" i="7"/>
  <c r="D997" i="7"/>
  <c r="D996" i="7"/>
  <c r="D995" i="7"/>
  <c r="D994" i="7"/>
  <c r="D993" i="7"/>
  <c r="D992" i="7"/>
  <c r="D991" i="7"/>
  <c r="D990" i="7"/>
  <c r="D989" i="7"/>
  <c r="D988" i="7"/>
  <c r="D987" i="7"/>
  <c r="D986" i="7"/>
  <c r="D985" i="7"/>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29" i="7"/>
  <c r="D328" i="7"/>
  <c r="D327" i="7"/>
  <c r="D326" i="7"/>
  <c r="D325" i="7"/>
  <c r="D324" i="7"/>
  <c r="D323" i="7"/>
  <c r="D322" i="7"/>
  <c r="D321" i="7"/>
  <c r="D320" i="7"/>
  <c r="D319" i="7"/>
  <c r="D318" i="7"/>
  <c r="D317" i="7"/>
  <c r="D315" i="7"/>
  <c r="D314" i="7"/>
  <c r="D313" i="7"/>
  <c r="D312" i="7"/>
  <c r="D311" i="7"/>
  <c r="D310" i="7"/>
  <c r="D309" i="7"/>
  <c r="D308" i="7"/>
  <c r="D307" i="7"/>
  <c r="D306" i="7"/>
  <c r="D305" i="7"/>
  <c r="D304" i="7"/>
  <c r="D303" i="7"/>
  <c r="D302" i="7"/>
  <c r="D301" i="7"/>
  <c r="D300" i="7"/>
  <c r="D299" i="7"/>
  <c r="D298" i="7"/>
  <c r="D297" i="7"/>
  <c r="D296" i="7"/>
  <c r="D295" i="7"/>
  <c r="D294" i="7"/>
  <c r="D292" i="7"/>
  <c r="D291" i="7"/>
  <c r="D290" i="7"/>
  <c r="D289" i="7"/>
  <c r="D288" i="7"/>
  <c r="D287" i="7"/>
  <c r="D286" i="7"/>
  <c r="D285" i="7"/>
  <c r="D284" i="7"/>
  <c r="D283" i="7"/>
  <c r="D282" i="7"/>
  <c r="D281" i="7"/>
  <c r="D280" i="7"/>
  <c r="D279" i="7"/>
  <c r="D277" i="7"/>
  <c r="D276" i="7"/>
  <c r="D275" i="7"/>
  <c r="D274" i="7"/>
  <c r="D273" i="7"/>
  <c r="D272" i="7"/>
  <c r="D271" i="7"/>
  <c r="D270" i="7"/>
  <c r="D269" i="7"/>
  <c r="D268" i="7"/>
  <c r="D267" i="7"/>
  <c r="D266" i="7"/>
  <c r="D265" i="7"/>
  <c r="D264" i="7"/>
  <c r="D263" i="7"/>
  <c r="D262" i="7"/>
  <c r="D261" i="7"/>
  <c r="D260" i="7"/>
  <c r="D258" i="7"/>
  <c r="D257" i="7"/>
  <c r="D256" i="7"/>
  <c r="D255" i="7"/>
  <c r="D254" i="7"/>
  <c r="D253" i="7"/>
  <c r="D252" i="7"/>
  <c r="D251" i="7"/>
  <c r="D250" i="7"/>
  <c r="D249" i="7"/>
  <c r="D248" i="7"/>
  <c r="D247" i="7"/>
  <c r="D246" i="7"/>
  <c r="D245" i="7"/>
  <c r="D244" i="7"/>
  <c r="D243" i="7"/>
  <c r="D242" i="7"/>
  <c r="D241" i="7"/>
  <c r="D240"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8" i="7"/>
  <c r="D197" i="7"/>
  <c r="D196" i="7"/>
  <c r="D195" i="7"/>
  <c r="D194" i="7"/>
  <c r="D193" i="7"/>
  <c r="D192" i="7"/>
  <c r="D191" i="7"/>
  <c r="D190" i="7"/>
  <c r="D189" i="7"/>
  <c r="D188" i="7"/>
  <c r="D187" i="7"/>
  <c r="D186" i="7"/>
  <c r="D185" i="7"/>
  <c r="D182" i="7"/>
  <c r="D181" i="7"/>
  <c r="D180" i="7"/>
  <c r="D179" i="7"/>
  <c r="D178" i="7"/>
  <c r="D177" i="7"/>
  <c r="D176" i="7"/>
  <c r="D175" i="7"/>
  <c r="D174" i="7"/>
  <c r="D173" i="7"/>
  <c r="D172" i="7"/>
  <c r="D171" i="7"/>
  <c r="D170" i="7"/>
  <c r="D169" i="7"/>
  <c r="D168" i="7"/>
  <c r="F167" i="7"/>
  <c r="D167" i="7"/>
  <c r="F166" i="7"/>
  <c r="D166" i="7"/>
  <c r="F165" i="7"/>
  <c r="D165" i="7"/>
  <c r="F164" i="7"/>
  <c r="D164" i="7"/>
  <c r="F163" i="7"/>
  <c r="D163" i="7"/>
  <c r="F162" i="7"/>
  <c r="D162" i="7"/>
  <c r="F161" i="7"/>
  <c r="D161" i="7"/>
  <c r="F160" i="7"/>
  <c r="D160" i="7"/>
  <c r="F159" i="7"/>
  <c r="D159" i="7"/>
  <c r="F158" i="7"/>
  <c r="D158" i="7"/>
  <c r="F157" i="7"/>
  <c r="D157" i="7"/>
  <c r="F156" i="7"/>
  <c r="D156" i="7"/>
  <c r="F155" i="7"/>
  <c r="D155" i="7"/>
  <c r="D154" i="7"/>
  <c r="F153" i="7"/>
  <c r="D153" i="7"/>
  <c r="F152" i="7"/>
  <c r="D152" i="7"/>
  <c r="F151" i="7"/>
  <c r="D151" i="7"/>
  <c r="F150" i="7"/>
  <c r="D150" i="7"/>
  <c r="F149" i="7"/>
  <c r="D149" i="7"/>
  <c r="F148" i="7"/>
  <c r="D148" i="7"/>
  <c r="F147" i="7"/>
  <c r="D147" i="7"/>
  <c r="F146" i="7"/>
  <c r="D146" i="7"/>
  <c r="F145" i="7"/>
  <c r="D145" i="7"/>
  <c r="F144" i="7"/>
  <c r="D144" i="7"/>
  <c r="F143" i="7"/>
  <c r="D143" i="7"/>
  <c r="F142" i="7"/>
  <c r="D142" i="7"/>
  <c r="F141" i="7"/>
  <c r="D141" i="7"/>
  <c r="F140" i="7"/>
  <c r="D140" i="7"/>
  <c r="F139" i="7"/>
  <c r="D139" i="7"/>
  <c r="F138" i="7"/>
  <c r="D138" i="7"/>
  <c r="F137" i="7"/>
  <c r="D137" i="7"/>
  <c r="F136" i="7"/>
  <c r="D136" i="7"/>
  <c r="F135" i="7"/>
  <c r="D135" i="7"/>
  <c r="F134" i="7"/>
  <c r="D134" i="7"/>
  <c r="F133" i="7"/>
  <c r="D133" i="7"/>
  <c r="F132" i="7"/>
  <c r="D132" i="7"/>
  <c r="D131" i="7"/>
  <c r="D130" i="7"/>
  <c r="D129" i="7"/>
  <c r="F128" i="7"/>
  <c r="D128" i="7"/>
  <c r="D127" i="7"/>
  <c r="F126" i="7"/>
  <c r="D126" i="7"/>
  <c r="D125" i="7"/>
  <c r="F124" i="7"/>
  <c r="D124" i="7"/>
  <c r="F123" i="7"/>
  <c r="D123" i="7"/>
  <c r="F122" i="7"/>
  <c r="D122" i="7"/>
  <c r="F121" i="7"/>
  <c r="D121" i="7"/>
  <c r="F120" i="7"/>
  <c r="D120" i="7"/>
  <c r="F119" i="7"/>
  <c r="D119" i="7"/>
  <c r="F118" i="7"/>
  <c r="D118" i="7"/>
  <c r="F117" i="7"/>
  <c r="D117" i="7"/>
  <c r="D116" i="7"/>
  <c r="F115" i="7"/>
  <c r="D115" i="7"/>
  <c r="F114" i="7"/>
  <c r="D114" i="7"/>
  <c r="F113" i="7"/>
  <c r="D113" i="7"/>
  <c r="F112" i="7"/>
  <c r="D112" i="7"/>
  <c r="F111" i="7"/>
  <c r="D111" i="7"/>
  <c r="F110" i="7"/>
  <c r="D110" i="7"/>
  <c r="F109" i="7"/>
  <c r="D109" i="7"/>
  <c r="F108" i="7"/>
  <c r="D108" i="7"/>
  <c r="F107" i="7"/>
  <c r="D107" i="7"/>
  <c r="F106" i="7"/>
  <c r="D106" i="7"/>
  <c r="F105" i="7"/>
  <c r="D105" i="7"/>
  <c r="F104" i="7"/>
  <c r="D104" i="7"/>
  <c r="F103" i="7"/>
  <c r="D103" i="7"/>
  <c r="F102" i="7"/>
  <c r="D102" i="7"/>
  <c r="F101" i="7"/>
  <c r="D101" i="7"/>
  <c r="F100" i="7"/>
  <c r="D100" i="7"/>
  <c r="F99" i="7"/>
  <c r="D99" i="7"/>
  <c r="F98" i="7"/>
  <c r="D98" i="7"/>
  <c r="F97" i="7"/>
  <c r="D97" i="7"/>
  <c r="F96" i="7"/>
  <c r="D96" i="7"/>
  <c r="F95" i="7"/>
  <c r="D95" i="7"/>
  <c r="F94" i="7"/>
  <c r="D94" i="7"/>
  <c r="F93" i="7"/>
  <c r="D93" i="7"/>
  <c r="F92" i="7"/>
  <c r="D92" i="7"/>
  <c r="F91" i="7"/>
  <c r="D91" i="7"/>
  <c r="F90" i="7"/>
  <c r="D90" i="7"/>
  <c r="D89" i="7"/>
  <c r="F88" i="7"/>
  <c r="D88" i="7"/>
  <c r="F87" i="7"/>
  <c r="D87" i="7"/>
  <c r="F86" i="7"/>
  <c r="D86" i="7"/>
  <c r="F85" i="7"/>
  <c r="D85" i="7"/>
  <c r="F84" i="7"/>
  <c r="D84" i="7"/>
  <c r="F83" i="7"/>
  <c r="D83" i="7"/>
  <c r="F82" i="7"/>
  <c r="D82" i="7"/>
  <c r="F81" i="7"/>
  <c r="D81" i="7"/>
  <c r="F80" i="7"/>
  <c r="D80" i="7"/>
  <c r="F79" i="7"/>
  <c r="D79" i="7"/>
  <c r="F78" i="7"/>
  <c r="D78" i="7"/>
  <c r="F77" i="7"/>
  <c r="D77" i="7"/>
  <c r="F76" i="7"/>
  <c r="D76" i="7"/>
  <c r="F75" i="7"/>
  <c r="D75" i="7"/>
  <c r="F74" i="7"/>
  <c r="D74" i="7"/>
  <c r="F73" i="7"/>
  <c r="D73" i="7"/>
  <c r="F72" i="7"/>
  <c r="D72" i="7"/>
  <c r="F71" i="7"/>
  <c r="D71" i="7"/>
  <c r="F70" i="7"/>
  <c r="D70" i="7"/>
  <c r="F69" i="7"/>
  <c r="D69" i="7"/>
  <c r="F68" i="7"/>
  <c r="D68" i="7"/>
  <c r="F67" i="7"/>
  <c r="D67" i="7"/>
  <c r="F66" i="7"/>
  <c r="D66" i="7"/>
  <c r="F65" i="7"/>
  <c r="D65" i="7"/>
  <c r="F64" i="7"/>
  <c r="D64" i="7"/>
  <c r="D63" i="7"/>
  <c r="F62" i="7"/>
  <c r="D62" i="7"/>
  <c r="F61" i="7"/>
  <c r="D61" i="7"/>
  <c r="F60" i="7"/>
  <c r="D60" i="7"/>
  <c r="F59" i="7"/>
  <c r="D59" i="7"/>
  <c r="D58" i="7"/>
  <c r="F57" i="7"/>
  <c r="D57" i="7"/>
  <c r="F56" i="7"/>
  <c r="D56" i="7"/>
  <c r="F55" i="7"/>
  <c r="D55" i="7"/>
  <c r="F54" i="7"/>
  <c r="D54" i="7"/>
  <c r="F53" i="7"/>
  <c r="D53" i="7"/>
  <c r="F52" i="7"/>
  <c r="D52" i="7"/>
  <c r="F51" i="7"/>
  <c r="D51" i="7"/>
  <c r="F50" i="7"/>
  <c r="D50" i="7"/>
  <c r="D49" i="7"/>
  <c r="F48" i="7"/>
  <c r="D48" i="7"/>
  <c r="F47" i="7"/>
  <c r="D47" i="7"/>
  <c r="F46" i="7"/>
  <c r="D46" i="7"/>
  <c r="F45" i="7"/>
  <c r="D45" i="7"/>
  <c r="F44" i="7"/>
  <c r="D44" i="7"/>
  <c r="F43" i="7"/>
  <c r="D43" i="7"/>
  <c r="F42" i="7"/>
  <c r="D42" i="7"/>
  <c r="F41" i="7"/>
  <c r="D41" i="7"/>
  <c r="F40" i="7"/>
  <c r="D40" i="7"/>
  <c r="F39" i="7"/>
  <c r="D39" i="7"/>
  <c r="F38" i="7"/>
  <c r="D38" i="7"/>
  <c r="D37" i="7"/>
  <c r="D36" i="7"/>
  <c r="F35" i="7"/>
  <c r="D35" i="7"/>
  <c r="F34" i="7"/>
  <c r="D34" i="7"/>
  <c r="F33" i="7"/>
  <c r="D33" i="7"/>
  <c r="F32" i="7"/>
  <c r="D32" i="7"/>
  <c r="F31" i="7"/>
  <c r="D31" i="7"/>
  <c r="F30" i="7"/>
  <c r="D30" i="7"/>
  <c r="F29" i="7"/>
  <c r="D29" i="7"/>
  <c r="F28" i="7"/>
  <c r="D28" i="7"/>
  <c r="F27" i="7"/>
  <c r="D27" i="7"/>
  <c r="F26" i="7"/>
  <c r="D26" i="7"/>
  <c r="F25" i="7"/>
  <c r="D25" i="7"/>
  <c r="F24" i="7"/>
  <c r="D24" i="7"/>
  <c r="D23" i="7"/>
  <c r="F22" i="7"/>
  <c r="D22" i="7"/>
  <c r="D21" i="7"/>
  <c r="F20" i="7"/>
  <c r="D20" i="7"/>
  <c r="D19" i="7"/>
  <c r="D18" i="7"/>
  <c r="D17" i="7"/>
  <c r="D16" i="7"/>
  <c r="D15" i="7"/>
  <c r="D14" i="7"/>
  <c r="D13" i="7"/>
  <c r="D12" i="7"/>
  <c r="D11" i="7"/>
  <c r="D10" i="7"/>
  <c r="D9" i="7"/>
  <c r="D8" i="7"/>
  <c r="D7" i="7"/>
  <c r="D6" i="7"/>
  <c r="D5" i="7"/>
  <c r="D4" i="7"/>
  <c r="D3" i="7"/>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alcChain>
</file>

<file path=xl/sharedStrings.xml><?xml version="1.0" encoding="utf-8"?>
<sst xmlns="http://schemas.openxmlformats.org/spreadsheetml/2006/main" count="19666" uniqueCount="13450">
  <si>
    <t>あい　あい（口＋愛）気　1767　鍼灸則　菅沼周桂.jpg</t>
  </si>
  <si>
    <t>あい　噫　1220　鍼灸資生経　王執中_ページ_1.jpg</t>
  </si>
  <si>
    <t>あい　噫　1220　鍼灸資生経　王執中_ページ_2.jpg</t>
  </si>
  <si>
    <t>あい　噫　1669　鍼灸枢要　山本玄通_ページ_1.jpg</t>
  </si>
  <si>
    <t>あい　噫　1669　鍼灸枢要　山本玄通_ページ_2.jpg</t>
  </si>
  <si>
    <t>あい　噫　1669　鍼灸枢要　山本玄通_ページ_3.jpg</t>
  </si>
  <si>
    <t>あい　噫　1800　鍼灸備要　小坂元祐_ページ_1.jpg</t>
  </si>
  <si>
    <t>あい　噫　1800　鍼灸備要　小坂元祐_ページ_2.jpg</t>
  </si>
  <si>
    <t>あい　噫えつ　翻胃　1813　名家灸選三編　平井庸信_ページ_1.jpg</t>
  </si>
  <si>
    <t>あい　噫えつ　翻胃　1813　名家灸選三編　平井庸信_ページ_2.jpg</t>
  </si>
  <si>
    <t>あい　噫気（おくび）　1912年（大正01）　鍼灸手引草　久木田七郎.jpg</t>
  </si>
  <si>
    <t>あく　悪露　成書年未詳　灸穴集　著者未詳_ページ_1.jpg</t>
  </si>
  <si>
    <t>あく　悪露　成書年未詳　灸穴集　著者未詳_ページ_2.jpg</t>
  </si>
  <si>
    <t>あく　悪露不尽（あくろつきず）　さんごのおりもの　産蓐排泄　1887（明治20）　鍼灸備要　青山道醇.jpg</t>
  </si>
  <si>
    <t>あく　悪露滞　1686　鍼灸要法指南　岩田利斎.jpg</t>
  </si>
  <si>
    <t>あく　悪露滞　1693　鍼灸要歌集　安井昌玄_ページ_1.jpg</t>
  </si>
  <si>
    <t>あく　悪露滞　1693　鍼灸要歌集　安井昌玄_ページ_2.jpg</t>
  </si>
  <si>
    <t>い　いぼ　1773　鍼灸手引草　大簡室主人.jpg</t>
  </si>
  <si>
    <t>い　時遺尿　1794　杉山流鍼術　島浦和田一_ページ_1.jpg</t>
  </si>
  <si>
    <t>い　時遺尿　1794　杉山流鍼術　島浦和田一_ページ_2.jpg</t>
  </si>
  <si>
    <t>い　痿　1537　鍼灸聚英　明・高武_ページ_1.jpg</t>
  </si>
  <si>
    <t>い　痿　1537　鍼灸聚英　明・高武_ページ_2.jpg</t>
  </si>
  <si>
    <t>い　痿　1594　鍼灸集要　曲直瀬道三_ページ_1.jpg</t>
  </si>
  <si>
    <t>い　痿　1594　鍼灸集要　曲直瀬道三_ページ_2.jpg</t>
  </si>
  <si>
    <t>い　痿　1680　鍼灸抜萃　著者未詳.jpg</t>
  </si>
  <si>
    <t>い　痿　1693　鍼灸要歌集　安井昌玄_ページ_1.jpg</t>
  </si>
  <si>
    <t>い　痿　1693　鍼灸要歌集　安井昌玄_ページ_2.jpg</t>
  </si>
  <si>
    <t>い　痿　1693　鍼灸要歌集　安井昌玄_ページ_3.jpg</t>
  </si>
  <si>
    <t>い　痿　1696　広益鍼灸抜萃　著者未詳_ページ_1.jpg</t>
  </si>
  <si>
    <t>い　痿　1696　広益鍼灸抜萃　著者未詳_ページ_2.jpg</t>
  </si>
  <si>
    <t>い　痿　1718　鍼灸重宝記　なゆる　本郷正豊.jpg</t>
  </si>
  <si>
    <t>い　痿　1773　鍼灸手引草　大簡室主人.jpg</t>
  </si>
  <si>
    <t>い　痿　●熱在五臓発痿　第四　0300　鍼灸甲乙経　皇甫謐_ページ_1.jpg</t>
  </si>
  <si>
    <t>い　痿　●熱在五臓発痿　第四　0300　鍼灸甲乙経　皇甫謐_ページ_2.jpg</t>
  </si>
  <si>
    <t>い　痿壁　1767　鍼灸則　菅沼周桂_ページ_1.jpg</t>
  </si>
  <si>
    <t>い　痿壁　1767　鍼灸則　菅沼周桂_ページ_2.jpg</t>
  </si>
  <si>
    <t>い　痿病　成書年未詳　灸穴集　著者未詳_ページ_1.jpg</t>
  </si>
  <si>
    <t>い　痿病　成書年未詳　灸穴集　著者未詳_ページ_2.jpg</t>
  </si>
  <si>
    <t>い　痿症　1694　鍼灸そかい集　高津敬節.jpg</t>
  </si>
  <si>
    <t>い　痿瘡　成書年未詳　灸穴集　著者未詳.jpg</t>
  </si>
  <si>
    <t>い　痿証　1669　鍼灸枢要　山本玄通_ページ_1.jpg</t>
  </si>
  <si>
    <t>い　痿証　1669　鍼灸枢要　山本玄通_ページ_2.jpg</t>
  </si>
  <si>
    <t>い　痿証　1669　鍼灸枢要　山本玄通_ページ_3.jpg</t>
  </si>
  <si>
    <t>い　痿証　1669　鍼灸枢要　山本玄通_ページ_4.jpg</t>
  </si>
  <si>
    <t>い　痿証　1669　鍼灸枢要　山本玄通_ページ_5.jpg</t>
  </si>
  <si>
    <t>い　胃かん痛　1767　鍼灸則　菅沼周桂.jpg</t>
  </si>
  <si>
    <t>い　胃かん痛　1780　むねよりへその上いたむ人　鍼灸極秘伝　木村太沖.jpg</t>
  </si>
  <si>
    <t>い　胃かん痛　1792　鍼法要集　源長起_ページ_1.jpg</t>
  </si>
  <si>
    <t>い　胃かん痛　1792　鍼法要集　源長起_ページ_2.jpg</t>
  </si>
  <si>
    <t>い　胃痛　1912年（大正01）　鍼灸手引草　久木田七郎_ページ_1.jpg</t>
  </si>
  <si>
    <t>い　胃痛　1912年（大正01）　鍼灸手引草　久木田七郎_ページ_2.jpg</t>
  </si>
  <si>
    <t>い　胃痛（寒熱）　1220　鍼灸資生経　王執中.jpg</t>
  </si>
  <si>
    <t>い　胃翻（いほん）　あげる　慢性嘔吐　1887（明治20）　鍼灸備要　青山道醇_ページ_1.jpg</t>
  </si>
  <si>
    <t>い　胃翻（いほん）　あげる　慢性嘔吐　1887（明治20）　鍼灸備要　青山道醇_ページ_2.jpg</t>
  </si>
  <si>
    <t>い　遺尿　1613　古今集鍼法　長生庵了味か.jpg</t>
  </si>
  <si>
    <t>い　遺尿　1669　尿床（小児）　鍼灸枢要　山本玄通_ページ_1.jpg</t>
  </si>
  <si>
    <t>い　遺尿　1669　尿床（小児）　鍼灸枢要　山本玄通_ページ_2.jpg</t>
  </si>
  <si>
    <t>い　遺尿　1679　鍼法奇貨　渡辺東伯_ページ_1.jpg</t>
  </si>
  <si>
    <t>い　遺尿　1679　鍼法奇貨　渡辺東伯_ページ_2.jpg</t>
  </si>
  <si>
    <t>い　遺尿　1679　鍼法奇貨　渡辺東伯_ページ_3.jpg</t>
  </si>
  <si>
    <t>い　遺尿　1686　鍼灸要法指南　岩田利斎.jpg</t>
  </si>
  <si>
    <t>い　遺尿　1694　療治之大概集　覚えず小便たるる事　杉山和一.jpg</t>
  </si>
  <si>
    <t>い　遺尿　1780　鍼灸極秘伝　ねしょうべん、またざしき（座敷）にてもらす人　木村太沖.jpg</t>
  </si>
  <si>
    <t>い　遺尿　1794　杉山流鍼術　島浦和田一.jpg</t>
  </si>
  <si>
    <t>い　遺尿　1807　続名家灸選　平井庸信_ページ_1.jpg</t>
  </si>
  <si>
    <t>い　遺尿　1807　続名家灸選　平井庸信_ページ_2.jpg</t>
  </si>
  <si>
    <t>い　遺尿　1813　名家灸選　浅井惟亨.jpg</t>
  </si>
  <si>
    <t>い　遺尿　1887（明治20）　ねしやうべん　遺尿　鍼灸備要　青山道醇.jpg</t>
  </si>
  <si>
    <t>い　遺尿　失禁　1574　兪穴参伍的法　秦宗巴.jpg</t>
  </si>
  <si>
    <t>い　遺尿　失禁　1813　名家灸選三編　平井庸信_ページ_1.jpg</t>
  </si>
  <si>
    <t>い　遺尿　失禁　1813　名家灸選三編　平井庸信_ページ_2.jpg</t>
  </si>
  <si>
    <t>い　遺尿　小児　成書年未詳　灸穴集　著者未詳.jpg</t>
  </si>
  <si>
    <t>い　遺尿　成書年未詳　灸穴集　著者未詳.jpg</t>
  </si>
  <si>
    <t>い　遺溺　1680　鍼灸抜萃　著者未詳.jpg</t>
  </si>
  <si>
    <t>い　遺溺　1696　広益鍼灸抜萃　著者未詳.jpg</t>
  </si>
  <si>
    <t>い　遺溺　1718　いばりたれ　鍼灸重宝記　本郷正豊.jpg</t>
  </si>
  <si>
    <t>い　遺溺　1767　鍼灸則　菅沼周桂.jpg</t>
  </si>
  <si>
    <t>い　遺溺　1773　鍼灸手引草　大簡室主人.jpg</t>
  </si>
  <si>
    <t>い　遺溺　1792　鍼法要集　源長起_ページ_1.jpg</t>
  </si>
  <si>
    <t>い　遺濁　1693　鍼灸要歌集　安井昌玄.jpg</t>
  </si>
  <si>
    <t>い　遺精　1563　鍼灸集要　曲直瀬道三.jpg</t>
  </si>
  <si>
    <t>い　遺精　1680　鍼灸抜萃　著者未詳.jpg</t>
  </si>
  <si>
    <t>い　遺精　1693　鍼灸要歌集　安井昌玄.jpg</t>
  </si>
  <si>
    <t>い　遺精　1694　夢に精泄るる事　療治之大概集　杉山和一.jpg</t>
  </si>
  <si>
    <t>い　遺精　1694　鍼灸そかい集　高津敬節.jpg</t>
  </si>
  <si>
    <t>い　遺精　1696　広益鍼灸抜萃　著者未詳_ページ_1.jpg</t>
  </si>
  <si>
    <t>い　遺精　1696　広益鍼灸抜萃　著者未詳_ページ_2.jpg</t>
  </si>
  <si>
    <t>い　遺精　1698　鍼灸抜粋大成　岡本一抱.jpg</t>
  </si>
  <si>
    <t>い　遺精　1718　もうざうをみる　鍼灸重宝記　本郷正豊.jpg</t>
  </si>
  <si>
    <t>い　遺精　1773　鍼灸手引草　大簡室主人_ページ_1.jpg</t>
  </si>
  <si>
    <t>い　遺精　1773　鍼灸手引草　大簡室主人_ページ_2.jpg</t>
  </si>
  <si>
    <t>い　遺精　1780　路（おおいに）（露（あらわれて）また羸（るい）の義）せつ（泄）する人　鍼灸極秘伝　木村太沖.jpg</t>
  </si>
  <si>
    <t>い　遺精　1792　鍼法要集　源長起.jpg</t>
  </si>
  <si>
    <t>い　遺精　1813　名家灸選　浅井惟亨.jpg</t>
  </si>
  <si>
    <t>い　遺精　夢遺　1669　鍼灸枢要　山本玄通_ページ_1.jpg</t>
  </si>
  <si>
    <t>い　遺精　夢遺　1669　鍼灸枢要　山本玄通_ページ_2.jpg</t>
  </si>
  <si>
    <t>い　遺精　白濁　1686　鍼灸要法指南　岩田利斎_ページ_1.jpg</t>
  </si>
  <si>
    <t>い　遺精　白濁　1686　鍼灸要法指南　岩田利斎_ページ_2.jpg</t>
  </si>
  <si>
    <t>いつ　噎症　1765　鍼法弁惑　藤井秀孟_ページ_1.jpg</t>
  </si>
  <si>
    <t>いつ　噎症　1765　鍼法弁惑　藤井秀孟_ページ_2.jpg</t>
  </si>
  <si>
    <t>いつ　噎膈　1563　鍼灸集要　曲直瀬道三.jpg</t>
  </si>
  <si>
    <t>いつ　噎膈　1761　挨穴捷径　杉原敦_ページ_1.jpg</t>
  </si>
  <si>
    <t>いつ　噎膈　1761　挨穴捷径　杉原敦_ページ_2.jpg</t>
  </si>
  <si>
    <t>いつ　噎膈　翻胃　1669　鍼灸枢要　山本玄通_ページ_1.jpg</t>
  </si>
  <si>
    <t>いつ　噎膈　翻胃　1669　鍼灸枢要　山本玄通_ページ_2.jpg</t>
  </si>
  <si>
    <t>いつ　噎膈　翻胃　1669　鍼灸枢要　山本玄通_ページ_3.jpg</t>
  </si>
  <si>
    <t>いつ　噎膈　翻胃　1669　鍼灸枢要　山本玄通_ページ_4.jpg</t>
  </si>
  <si>
    <t>いつ　噎膈　翻胃　1669　鍼灸枢要　山本玄通_ページ_5.jpg</t>
  </si>
  <si>
    <t>いつ　噎膈　翻胃　1669　鍼灸枢要　山本玄通_ページ_6.jpg</t>
  </si>
  <si>
    <t>いつ　噎膈　翻胃　1800　鍼灸備要　小坂元祐_ページ_1.jpg</t>
  </si>
  <si>
    <t>いつ　噎膈　翻胃　1800　鍼灸備要　小坂元祐_ページ_2.jpg</t>
  </si>
  <si>
    <t>いつ　噎隔　1624　類経図翼　明・張介賓_ページ_1.jpg</t>
  </si>
  <si>
    <t>いつ　噎隔　1624　類経図翼　明・張介賓_ページ_2.jpg</t>
  </si>
  <si>
    <t>いん　いん疹　1773　鍼灸手引草　大簡室主人.jpg</t>
  </si>
  <si>
    <t>いん　いん＝（やまいだれ＋音）　1299　不能言　続添要穴集　惟宗時俊.jpg</t>
  </si>
  <si>
    <t>いん　いん＝（やまいだれ＋音）　1669　鍼灸枢要　山本玄通_ページ_1.jpg</t>
  </si>
  <si>
    <t>いん　いん＝（やまいだれ＋音）　1669　鍼灸枢要　山本玄通_ページ_2.jpg</t>
  </si>
  <si>
    <t>いん　いん＝（やまいだれ＋音）　1669　鍼灸枢要　山本玄通_ページ_3.jpg</t>
  </si>
  <si>
    <t>いん　いん＝（やまいだれ＋音）　1669　鍼灸枢要　山本玄通_ページ_4.jpg</t>
  </si>
  <si>
    <t>いん　いん＝（やまいだれ＋音）　1669　鍼灸枢要　山本玄通_ページ_5.jpg</t>
  </si>
  <si>
    <t>いん　いん＝（やまいだれ＋音）　●寒気客於厭発いん不能言　第二　0300　鍼灸甲乙経　皇甫謐_ページ_1.jpg</t>
  </si>
  <si>
    <t>いん　いん＝（やまいだれ＋音）　●寒気客於厭発いん不能言　第二　0300　鍼灸甲乙経　皇甫謐_ページ_2.jpg</t>
  </si>
  <si>
    <t>いん　いん＝（やまいだれ＋音）あ　1329　扁鵲神応鍼灸玉龍経　元・王国瑞_ページ_1.jpg</t>
  </si>
  <si>
    <t>いん　いん＝（やまいだれ＋音）あ　1329　扁鵲神応鍼灸玉龍経　元・王国瑞_ページ_2.jpg</t>
  </si>
  <si>
    <t>いん　いん＝（やまいだれ＋音）あ　1624　類経図翼　明・張介賓.jpg</t>
  </si>
  <si>
    <t>いん　いん＝（やまいだれ＋音）あ　1694　選鍼三要集　杉山和一.jpg</t>
  </si>
  <si>
    <t>いん　いん＝（やまいだれ＋音）唖（えんあ）　おおし　いん唖　1887（明治20）　鍼灸備要　青山道醇.jpg</t>
  </si>
  <si>
    <t>いん　咽喉　1220　咽喉乾　鍼灸資生経　王執中.jpg</t>
  </si>
  <si>
    <t>いん　咽喉　1220　咽喉腫痛（生瘡）　鍼灸資生経　王執中_ページ_1.jpg</t>
  </si>
  <si>
    <t>いん　咽喉　1220　咽喉腫痛（生瘡）　鍼灸資生経　王執中_ページ_2.jpg</t>
  </si>
  <si>
    <t>いん　咽喉　1425　神応経　明・陳会撰・劉瑾重校_ページ_1.jpg</t>
  </si>
  <si>
    <t>いん　咽喉　1425　神応経　明・陳会撰・劉瑾重校_ページ_2.jpg</t>
  </si>
  <si>
    <t>いん　咽喉　1574　兪穴参伍的法　秦宗巴_ページ_1.jpg</t>
  </si>
  <si>
    <t>いん　咽喉　1574　兪穴参伍的法　秦宗巴_ページ_2.jpg</t>
  </si>
  <si>
    <t>いん　咽喉　1669　鍼灸枢要　山本玄通_ページ_1.jpg</t>
  </si>
  <si>
    <t>いん　咽喉　1669　鍼灸枢要　山本玄通_ページ_2.jpg</t>
  </si>
  <si>
    <t>いん　咽喉　1669　鍼灸枢要　山本玄通_ページ_3.jpg</t>
  </si>
  <si>
    <t>いん　咽喉　1669　鍼灸枢要　山本玄通_ページ_4.jpg</t>
  </si>
  <si>
    <t>いん　咽喉　1669　鍼灸枢要　山本玄通_ページ_5.jpg</t>
  </si>
  <si>
    <t>いん　咽喉　1669　鍼灸枢要　山本玄通_ページ_6.jpg</t>
  </si>
  <si>
    <t>いん　咽喉　1679　鍼法奇貨　渡辺東伯_ページ_1.jpg</t>
  </si>
  <si>
    <t>いん　咽喉　1679　鍼法奇貨　渡辺東伯_ページ_2.jpg</t>
  </si>
  <si>
    <t>いん　咽喉　1679　鍼法奇貨　渡辺東伯_ページ_3.jpg</t>
  </si>
  <si>
    <t>いん　咽喉　1679　鍼法奇貨　渡辺東伯_ページ_4.jpg</t>
  </si>
  <si>
    <t>いん　咽喉　1679　鍼法奇貨　渡辺東伯_ページ_5.jpg</t>
  </si>
  <si>
    <t>いん　咽喉　1680　鍼灸抜萃　著者未詳.jpg</t>
  </si>
  <si>
    <t>いん　咽喉　1686　鍼灸要法指南　岩田利斎_ページ_1.jpg</t>
  </si>
  <si>
    <t>いん　咽喉　1686　鍼灸要法指南　岩田利斎_ページ_2.jpg</t>
  </si>
  <si>
    <t>いん　咽喉　1693　鍼灸要歌集　安井昌玄.jpg</t>
  </si>
  <si>
    <t>いん　咽喉　1696　広益鍼灸抜萃　著者未詳.jpg</t>
  </si>
  <si>
    <t>いん　咽喉　1718　のんどのやまひ　鍼灸重宝記　本郷正豊.jpg</t>
  </si>
  <si>
    <t>いん　咽喉　1767　鍼灸則　菅沼周桂.jpg</t>
  </si>
  <si>
    <t>いん　咽喉　1773　鍼灸手引草　大簡室主人_ページ_1.jpg</t>
  </si>
  <si>
    <t>いん　咽喉　1773　鍼灸手引草　大簡室主人_ページ_2.jpg</t>
  </si>
  <si>
    <t>いん　咽喉　1792　鍼法要集　源長起_ページ_1.jpg</t>
  </si>
  <si>
    <t>いん　咽喉　1792　鍼法要集　源長起_ページ_2.jpg</t>
  </si>
  <si>
    <t>いん　咽喉　1792　鍼法要集　源長起_ページ_3.jpg</t>
  </si>
  <si>
    <t>いん　咽喉　1800　鍼灸備要　小坂元祐_ページ_1.jpg</t>
  </si>
  <si>
    <t>いん　咽喉　1800　鍼灸備要　小坂元祐_ページ_2.jpg</t>
  </si>
  <si>
    <t>いん　咽喉　1807　続名家灸選　平井庸信_ページ_1.jpg</t>
  </si>
  <si>
    <t>いん　咽喉　1807　続名家灸選　平井庸信_ページ_2.jpg</t>
  </si>
  <si>
    <t>いん　咽喉　1813　名家灸選三編　平井庸信_ページ_1.jpg</t>
  </si>
  <si>
    <t>いん　咽喉　1813　名家灸選三編　平井庸信_ページ_2.jpg</t>
  </si>
  <si>
    <t>いん　咽喉　成書年未詳　灸穴集　著者未詳_ページ_1.jpg</t>
  </si>
  <si>
    <t>いん　咽喉　成書年未詳　灸穴集　著者未詳_ページ_2.jpg</t>
  </si>
  <si>
    <t>いん　咽喉　成書年未詳　灸穴集　著者未詳_ページ_3.jpg</t>
  </si>
  <si>
    <t>いん　咽喉　成書年未詳　灸穴集　著者未詳_ページ_4.jpg</t>
  </si>
  <si>
    <t>いん　咽喉　成書年未詳　灸穴集　著者未詳_ページ_5.jpg</t>
  </si>
  <si>
    <t>いん　咽喉　成書年未詳　灸穴集　著者未詳_ページ_6.jpg</t>
  </si>
  <si>
    <t>いん　咽喉口舌　1594　鍼灸集要　曲直瀬道三_ページ_1.jpg</t>
  </si>
  <si>
    <t>いん　咽喉口舌　1594　鍼灸集要　曲直瀬道三_ページ_2.jpg</t>
  </si>
  <si>
    <t>いん　咽喉塞（ふさが）り三日水穀通らず　こうひ（喉痺）二三日薬水ともに通らぬ人　1780　鍼灸極秘伝　木村太沖.jpg</t>
  </si>
  <si>
    <t>いん　咽喉腫痛　1912年（大正01）　鍼灸手引草　久木田七郎_ページ_1.jpg</t>
  </si>
  <si>
    <t>いん　咽喉腫痛　1912年（大正01）　鍼灸手引草　久木田七郎_ページ_2.jpg</t>
  </si>
  <si>
    <t>いん　咽痛喉痺　1594　経脈方寸秘書　曲直瀬道三.jpg</t>
  </si>
  <si>
    <t>いん　小児陰嚢腫大　1758　灸ぜつ塩土伝　三宅意安_ページ_1.jpg</t>
  </si>
  <si>
    <t>いん　小児陰嚢腫大　1758　灸ぜつ塩土伝　三宅意安_ページ_2.jpg</t>
  </si>
  <si>
    <t>いん　陰丸を打撲して気を絶する者　きん玉（こうがん）を打て気を失う人　1780　鍼灸極秘伝　木村太沖.jpg</t>
  </si>
  <si>
    <t>いん　陰丸腫・便毒・下疳・玉茎腫　よこね、かんそう、くきのはれたる人　1780　鍼灸極秘伝　木村太沖.jpg</t>
  </si>
  <si>
    <t>いん　陰挺　1624　類経図翼　明・張介賓.jpg</t>
  </si>
  <si>
    <t>いん　陰挺下脱、又、陰頽（たい）腫　なす　子宮脱出　1887（明治20）　鍼灸備要　青山道醇.jpg</t>
  </si>
  <si>
    <t>いん　陰挺出　1220　鍼灸資生経　王執中.jpg</t>
  </si>
  <si>
    <t>いん　陰毒陰証　1537　鍼灸聚英　明・高武.jpg</t>
  </si>
  <si>
    <t>いん　陰汗（湿痒）　1220　鍼灸資生経　王執中.jpg</t>
  </si>
  <si>
    <t>いん　陰煩する者、一に離魂病という　何となくもだえて死せんとする人　1780　鍼灸極秘伝　木村太沖.jpg</t>
  </si>
  <si>
    <t>いん　陰疝小便部　1425　神応経　明・陳会撰・劉瑾重校_ページ_1.jpg</t>
  </si>
  <si>
    <t>いん　陰疝小便部　1425　神応経　明・陳会撰・劉瑾重校_ページ_2.jpg</t>
  </si>
  <si>
    <t>いん　陰疝小便部　1425　神応経　明・陳会撰・劉瑾重校_ページ_3.jpg</t>
  </si>
  <si>
    <t>いん　陰病　1686　鍼灸要法指南　岩田利斎.jpg</t>
  </si>
  <si>
    <t>いん　陰病　1813　名家灸選　浅井惟亨_ページ_1.jpg</t>
  </si>
  <si>
    <t>いん　陰病　1813　名家灸選　浅井惟亨_ページ_2.jpg</t>
  </si>
  <si>
    <t>いん　陰病　1813　名家灸選三編　平井庸信.jpg</t>
  </si>
  <si>
    <t>いん　陰症　1694　選鍼三要集　杉山和一.jpg</t>
  </si>
  <si>
    <t>いん　陰痛　1792　鍼法要集　源長起.jpg</t>
  </si>
  <si>
    <t>いん　陰痿　成書年未詳　灸穴集　著者未詳_ページ_1.jpg</t>
  </si>
  <si>
    <t>いん　陰痿　成書年未詳　灸穴集　著者未詳_ページ_2.jpg</t>
  </si>
  <si>
    <t>いん　陰痿　成書年未詳　灸穴集　著者未詳_ページ_3.jpg</t>
  </si>
  <si>
    <t>いん　陰痿縮（両丸騫）　1220　鍼灸資生経　王執中.jpg</t>
  </si>
  <si>
    <t>いん　陰腫　1669　鍼灸枢要　山本玄通_ページ_1.jpg</t>
  </si>
  <si>
    <t>いん　陰腫　1669　鍼灸枢要　山本玄通_ページ_2.jpg</t>
  </si>
  <si>
    <t>いん　陰腫　1794　杉山流鍼術　島浦和田一.jpg</t>
  </si>
  <si>
    <t>いん　陰腫（陰瘡）　1220　鍼灸資生経　王執中.jpg</t>
  </si>
  <si>
    <t>いん　陰臭　女のまえのくさきはたびたびさしてよし　1780　鍼灸極秘伝　木村太沖.jpg</t>
  </si>
  <si>
    <t>いん　陰茎疼　1220　鍼灸資生経　王執中.jpg</t>
  </si>
  <si>
    <t>いん　陰茎疼痛　1912年（大正01）　鍼灸手引草　久木田七郎.jpg</t>
  </si>
  <si>
    <t>いん　陰萎縮　1912年（大正01）　鍼灸手引草　久木田七郎.jpg</t>
  </si>
  <si>
    <t>いん　飲　●水漿不消発飲　第六　0300　鍼灸甲乙経　皇甫謐_ページ_1.jpg</t>
  </si>
  <si>
    <t>いん　飲　●水漿不消発飲　第六　0300　鍼灸甲乙経　皇甫謐_ページ_2.jpg</t>
  </si>
  <si>
    <t>いん　飲食　1694　鍼灸そかい集　高津敬節_ページ_1.jpg</t>
  </si>
  <si>
    <t>いん　飲食　1694　鍼灸そかい集　高津敬節_ページ_2.jpg</t>
  </si>
  <si>
    <t>いん　飲食　成書年未詳　経穴図解　著者未詳.jpg</t>
  </si>
  <si>
    <t>う　齲歯　1912年（大正01）　鍼灸手引草　久木田七郎_ページ_1.jpg</t>
  </si>
  <si>
    <t>う　齲歯　1912年（大正01）　鍼灸手引草　久木田七郎_ページ_2.jpg</t>
  </si>
  <si>
    <t>う　齲歯（うし）　むしくひば　歯牙潰瘍、又、朽歯、又、歯骨瘍　1887（明治20）　鍼灸備要　青山道醇.jpg</t>
  </si>
  <si>
    <t>うえ　飢止針穴　1613　古今集鍼法　長生庵了味か.jpg</t>
  </si>
  <si>
    <t>うつ　欝冒　1537　鍼灸聚英　明・高武.jpg</t>
  </si>
  <si>
    <t>うつ　欝症　1698　鍼灸抜粋大成　岡本一抱.jpg</t>
  </si>
  <si>
    <t>うつ　欝症　成書年未詳　経穴図解　著者未詳.jpg</t>
  </si>
  <si>
    <t>うつ　欝症　附　諸氣　1694　鍼灸そかい集　高津敬節.jpg</t>
  </si>
  <si>
    <t>うつ　欝結壅塞　1765　鍼法弁惑　藤井秀孟.jpg</t>
  </si>
  <si>
    <t>うつ　欝証　1669　鍼灸枢要　山本玄通_ページ_1.jpg</t>
  </si>
  <si>
    <t>うつ　欝証　1669　鍼灸枢要　山本玄通_ページ_2.jpg</t>
  </si>
  <si>
    <t>うつ　欝証　1680　鍼灸抜萃　著者未詳.jpg</t>
  </si>
  <si>
    <t>うつ　欝証　1693　鍼灸要歌集　安井昌玄.jpg</t>
  </si>
  <si>
    <t>うつ　欝証　1696　広益鍼灸抜萃　著者未詳.jpg</t>
  </si>
  <si>
    <t>うつ　欝証　1767　鍼灸則　菅沼周桂_ページ_1.jpg</t>
  </si>
  <si>
    <t>うつ　欝証　1767　鍼灸則　菅沼周桂_ページ_2.jpg</t>
  </si>
  <si>
    <t>うつ　欝証　1773　鍼灸手引草　大簡室主人_ページ_1.jpg</t>
  </si>
  <si>
    <t>うつ　欝証　1773　鍼灸手引草　大簡室主人_ページ_2.jpg</t>
  </si>
  <si>
    <t>うつ　欝証　1785　鍼書　本城義軒.jpg</t>
  </si>
  <si>
    <t>うつ　欝証　1792　鍼法要集　源長起_ページ_1.jpg</t>
  </si>
  <si>
    <t>うつ　欝証　1792　鍼法要集　源長起_ページ_2.jpg</t>
  </si>
  <si>
    <t>うつ　欝証　きのふさぐ病　鬱憂病　1887（明治20）　鍼灸備要　青山道醇.jpg</t>
  </si>
  <si>
    <t>うつ　欝証　成書年未詳　灸穴集　著者未詳_ページ_1.jpg</t>
  </si>
  <si>
    <t>うつ　欝証　成書年未詳　灸穴集　著者未詳_ページ_2.jpg</t>
  </si>
  <si>
    <t>うつ　欝証　成書年未詳　灸穴集　著者未詳_ページ_3.jpg</t>
  </si>
  <si>
    <t>うつ　欝証　成書年未詳　灸穴集　著者未詳_ページ_4.jpg</t>
  </si>
  <si>
    <t>うつ　欝證　1718　鍼灸重宝記　本郷正豊.jpg</t>
  </si>
  <si>
    <t>うん　温疫（うんえき）　えやみ、又、やくびやう　窒扶斯（チフス）　1887（明治20）　鍼灸備要　青山道醇.jpg</t>
  </si>
  <si>
    <t>うん　瘟疫　1669　鍼灸枢要　山本玄通_ページ_1.jpg</t>
  </si>
  <si>
    <t>うん　瘟疫　1669　鍼灸枢要　山本玄通_ページ_2.jpg</t>
  </si>
  <si>
    <t>えい　えい瘤　0650　千金方　孫思ばく.jpg</t>
  </si>
  <si>
    <t>えい　えい瘤　1574　兪穴参伍的法　秦宗巴.jpg</t>
  </si>
  <si>
    <t>えい　えい瘤　1686　こぶ　鍼灸要法指南　岩田利斎.jpg</t>
  </si>
  <si>
    <t>えい　えい瘤　1773　鍼灸手引草　大簡室主人.jpg</t>
  </si>
  <si>
    <t>えい　えい瘤　成書年未詳　灸穴集　著者未詳_ページ_1.jpg</t>
  </si>
  <si>
    <t>えい　えい瘤　成書年未詳　灸穴集　著者未詳_ページ_2.jpg</t>
  </si>
  <si>
    <t>えい　えい瘤　成書年未詳　灸穴集　著者未詳_ページ_3.jpg</t>
  </si>
  <si>
    <t>えい　えい瘤　附　結核瘰癧　1694　鍼灸そかい集　高津敬節.jpg</t>
  </si>
  <si>
    <t>えい　えい瘤（肉瘤）　1220　鍼灸資生経　王執中_ページ_1.jpg</t>
  </si>
  <si>
    <t>えい　えい瘤（肉瘤）　1220　鍼灸資生経　王執中_ページ_2.jpg</t>
  </si>
  <si>
    <t>えい　翳蔽瞳子　たまにかかるもの　1765　鍼法弁惑　藤井秀孟.jpg</t>
  </si>
  <si>
    <t>えき　易産　1758　灸ぜつ塩土伝　三宅意安_ページ_1.jpg</t>
  </si>
  <si>
    <t>えき　易産　1758　灸ぜつ塩土伝　三宅意安_ページ_2.jpg</t>
  </si>
  <si>
    <t>えき　疫痢不止者　1800　岡田流鍼術書　岡田見龍_ページ_1.jpg</t>
  </si>
  <si>
    <t>えき　疫痢不止者　1800　岡田流鍼術書　岡田見龍_ページ_2.jpg</t>
  </si>
  <si>
    <t>えき　疫痢腹痛　1800　岡田流鍼術書　岡田見龍_ページ_1.jpg</t>
  </si>
  <si>
    <t>えき　疫痢腹痛　1800　岡田流鍼術書　岡田見龍_ページ_2.jpg</t>
  </si>
  <si>
    <t>えき　腋気　1703　鍼灸阿是要穴　岡本一抱.jpg</t>
  </si>
  <si>
    <t>えき　腋気　1767　鍼灸則　菅沼周桂_ページ_1.jpg</t>
  </si>
  <si>
    <t>えき　腋気　1767　鍼灸則　菅沼周桂_ページ_2.jpg</t>
  </si>
  <si>
    <t>えき　腋痛（腋腫）　1220　鍼灸資生経　王執中_ページ_1.jpg</t>
  </si>
  <si>
    <t>えき　腋痛（腋腫）　1220　鍼灸資生経　王執中_ページ_2.jpg</t>
  </si>
  <si>
    <t>えき　腋臭　婦人陰門燥臭　1758　灸ぜつ塩土伝　三宅意安_ページ_1.jpg</t>
  </si>
  <si>
    <t>えき　腋臭　婦人陰門燥臭　1758　灸ぜつ塩土伝　三宅意安_ページ_2.jpg</t>
  </si>
  <si>
    <t>えき　腋臭　成書年未詳　灸穴集　著者未詳.jpg</t>
  </si>
  <si>
    <t>えつ　えつ逆　1813　名家灸選　浅井惟亨.jpg</t>
  </si>
  <si>
    <t>えつ　えつ逆　しゃくりなり　1694　療治之大概集　杉山和一.jpg</t>
  </si>
  <si>
    <t>えつ　えつ逆（えつぎゃく）　さくり　吃逆（きつぎやく）、又、横膈筋痙攣　1887（明治20）　鍼灸備要　青山道醇.jpg</t>
  </si>
  <si>
    <t>えな　胞衣下りざる事　1694　療治之大概集　杉山和一.jpg</t>
  </si>
  <si>
    <t>えん　えん死失神　1765　鍼法弁惑　藤井秀孟_ページ_1.jpg</t>
  </si>
  <si>
    <t>えん　えん死失神　1765　鍼法弁惑　藤井秀孟_ページ_2.jpg</t>
  </si>
  <si>
    <t>えん　涎血　1794　杉山流鍼術　島浦和田一.jpg</t>
  </si>
  <si>
    <t>お　お血、心腹痛み、忍ぶべからざる者　ふる血にてむねはらいたむ人　1780　鍼灸極秘伝　木村太沖.jpg</t>
  </si>
  <si>
    <t>お　悪寒　1537　鍼灸聚英　明・高武.jpg</t>
  </si>
  <si>
    <t>お　悪心　1537　鍼灸聚英　明・高武.jpg</t>
  </si>
  <si>
    <t>お　悪心　1669　鍼灸枢要　山本玄通.jpg</t>
  </si>
  <si>
    <t>お　悪心　1767　鍼灸則　菅沼周桂.jpg</t>
  </si>
  <si>
    <t>お　悪心　むねわろし　1686　鍼灸要法指南　岩田利斎.jpg</t>
  </si>
  <si>
    <t>お　悪熱　悪寒　寒熱　1669　鍼灸枢要　山本玄通_ページ_1.jpg</t>
  </si>
  <si>
    <t>お　悪熱　悪寒　寒熱　1669　鍼灸枢要　山本玄通_ページ_2.jpg</t>
  </si>
  <si>
    <t>お　悪熱　悪寒　寒熱　1669　鍼灸枢要　山本玄通_ページ_3.jpg</t>
  </si>
  <si>
    <t>お　悪熱　悪寒　寒熱　1669　鍼灸枢要　山本玄通_ページ_4.jpg</t>
  </si>
  <si>
    <t>お　悪熱　悪寒　寒熱　1669　鍼灸枢要　山本玄通_ページ_5.jpg</t>
  </si>
  <si>
    <t>お　悪熱　悪寒　寒熱　1669　鍼灸枢要　山本玄通_ページ_6.jpg</t>
  </si>
  <si>
    <t>お　悪熱　悪寒　寒熱　1669　鍼灸枢要　山本玄通_ページ_7.jpg</t>
  </si>
  <si>
    <t>お　悪血を下す事　1607　扁鵲新流鍼書　越齋寿閑.jpg</t>
  </si>
  <si>
    <t>お　悪血不下　1765　鍼法弁惑　藤井秀孟.jpg</t>
  </si>
  <si>
    <t>お　悪阻　1669　鍼灸枢要　山本玄通_ページ_1.jpg</t>
  </si>
  <si>
    <t>お　悪阻　1669　鍼灸枢要　山本玄通_ページ_2.jpg</t>
  </si>
  <si>
    <t>お　悪阻　1686　つわり　鍼灸要法指南　岩田利斎.jpg</t>
  </si>
  <si>
    <t>お　悪阻　1693　鍼灸要歌集　安井昌玄.jpg</t>
  </si>
  <si>
    <t>お　悪阻　1800　鍼灸備要　小坂元祐_ページ_1.jpg</t>
  </si>
  <si>
    <t>お　悪阻　1800　鍼灸備要　小坂元祐_ページ_2.jpg</t>
  </si>
  <si>
    <t>お　悪阻　1800　鍼灸備要　小坂元祐_ページ_3.jpg</t>
  </si>
  <si>
    <t>お　悪阻　1800　鍼灸備要　小坂元祐_ページ_4.jpg</t>
  </si>
  <si>
    <t>お　悪阻　1800　鍼灸備要　小坂元祐_ページ_5.jpg</t>
  </si>
  <si>
    <t>お　悪阻　1800　鍼灸備要　小坂元祐_ページ_6.jpg</t>
  </si>
  <si>
    <t>お　悪阻　1800　鍼灸備要　小坂元祐_ページ_7.jpg</t>
  </si>
  <si>
    <t>お　悪阻　1800　鍼灸備要　小坂元祐_ページ_8.jpg</t>
  </si>
  <si>
    <t>お　悪阻（をそ）　つわり　1887（明治20）　鍼灸備要　青山道醇.jpg</t>
  </si>
  <si>
    <t>お　悪風　1537　鍼灸聚英　明・高武.jpg</t>
  </si>
  <si>
    <t>お　悪風悪寒　1765　鍼法弁惑　藤井秀孟.jpg</t>
  </si>
  <si>
    <t>お　阿蘭陀（オランダ）人口授の秘薬　甚だ妙剤なり、まことに日本の宝とおもふなり　1780　鍼灸極秘伝　木村太沖.jpg</t>
  </si>
  <si>
    <t>おう　嘔　吐　えつ　嘔苦水　嘔清水　1669　鍼灸枢要　山本玄通_ページ_1.jpg</t>
  </si>
  <si>
    <t>おう　嘔　吐　えつ　嘔苦水　嘔清水　1669　鍼灸枢要　山本玄通_ページ_2.jpg</t>
  </si>
  <si>
    <t>おう　嘔　吐　えつ　嘔苦水　嘔清水　1669　鍼灸枢要　山本玄通_ページ_3.jpg</t>
  </si>
  <si>
    <t>おう　嘔　吐　えつ　嘔苦水　嘔清水　1669　鍼灸枢要　山本玄通_ページ_4.jpg</t>
  </si>
  <si>
    <t>おう　嘔　吐　えつ　嘔苦水　嘔清水　1669　鍼灸枢要　山本玄通_ページ_5.jpg</t>
  </si>
  <si>
    <t>おう　嘔　吐　えつ　嘔苦水　嘔清水　1669　鍼灸枢要　山本玄通_ページ_6.jpg</t>
  </si>
  <si>
    <t>おう　嘔　吐　えつ　嘔苦水　嘔清水　1669　鍼灸枢要　山本玄通_ページ_7.jpg</t>
  </si>
  <si>
    <t>おう　嘔吐　0650　千金方　孫思ばく_ページ_1.jpg</t>
  </si>
  <si>
    <t>おう　嘔吐　0650　千金方　孫思ばく_ページ_2.jpg</t>
  </si>
  <si>
    <t>おう　嘔吐　1220　鍼灸資生経　王執中_ページ_1.jpg</t>
  </si>
  <si>
    <t>おう　嘔吐　1220　鍼灸資生経　王執中_ページ_2.jpg</t>
  </si>
  <si>
    <t>おう　嘔吐　1537　鍼灸聚英　明・高武.jpg</t>
  </si>
  <si>
    <t>おう　嘔吐　1574　兪穴参伍的法　秦宗巴.jpg</t>
  </si>
  <si>
    <t>おう　嘔吐　1613　古今集鍼法　長生庵了味か.jpg</t>
  </si>
  <si>
    <t>おう　嘔吐　1694　からえづきの事　療治之大概集　杉山和一.jpg</t>
  </si>
  <si>
    <t>おう　嘔吐　1698　鍼灸抜粋大成　岡本一抱.jpg</t>
  </si>
  <si>
    <t>おう　嘔吐　1718　ゑづき　鍼灸重宝記　本郷正豊.jpg</t>
  </si>
  <si>
    <t>おう　嘔吐　1767　鍼灸則　菅沼周桂.jpg</t>
  </si>
  <si>
    <t>おう　嘔吐　1780　からえづき、あるいは物をはく人　鍼灸極秘伝　木村太沖.jpg</t>
  </si>
  <si>
    <t>おう　嘔吐　1785　鍼書　本城義軒_ページ_1.jpg</t>
  </si>
  <si>
    <t>おう　嘔吐　1785　鍼書　本城義軒_ページ_2.jpg</t>
  </si>
  <si>
    <t>おう　嘔吐　1800　鍼灸備要　小坂元祐_ページ_1.jpg</t>
  </si>
  <si>
    <t>おう　嘔吐　1800　鍼灸備要　小坂元祐_ページ_2.jpg</t>
  </si>
  <si>
    <t>おう　嘔吐　1800　鍼灸備要　小坂元祐_ページ_3.jpg</t>
  </si>
  <si>
    <t>おう　嘔吐　噎膈　翻胃　1680　鍼灸抜萃　著者未詳.jpg</t>
  </si>
  <si>
    <t>おう　嘔吐　噎膈　翻胃　1693　鍼灸要歌集　安井昌玄_ページ_1.jpg</t>
  </si>
  <si>
    <t>おう　嘔吐　噎膈　翻胃　1693　鍼灸要歌集　安井昌玄_ページ_2.jpg</t>
  </si>
  <si>
    <t>おう　嘔吐　噎膈　翻胃　1696　広益鍼灸抜萃　著者未詳.jpg</t>
  </si>
  <si>
    <t>おう　嘔吐　小児　からえづきの事　1694　療治之大概集　杉山和一.jpg</t>
  </si>
  <si>
    <t>おう　嘔吐　膈噎　反胃　呑酸　1792　鍼法要集　源長起_ページ_1.jpg</t>
  </si>
  <si>
    <t>おう　嘔吐　膈噎　反胃　呑酸　1792　鍼法要集　源長起_ページ_2.jpg</t>
  </si>
  <si>
    <t>おう　嘔吐　膈噎　反胃　呑酸　1792　鍼法要集　源長起_ページ_3.jpg</t>
  </si>
  <si>
    <t>おう　嘔吐　附　噎膈反胃　1773　鍼灸手引草　大簡室主人_ページ_1.jpg</t>
  </si>
  <si>
    <t>おう　嘔吐　附　噎膈反胃　1773　鍼灸手引草　大簡室主人_ページ_2.jpg</t>
  </si>
  <si>
    <t>おう　嘔吐　附　噎膈反胃　1773　鍼灸手引草　大簡室主人_ページ_3.jpg</t>
  </si>
  <si>
    <t>おう　嘔吐　附　翻胃　膈噎　1694　鍼灸そかい集　高津敬節.jpg</t>
  </si>
  <si>
    <t>おう　嘔吐、気逆　1694　選鍼三要集　杉山和一.jpg</t>
  </si>
  <si>
    <t>おう　嘔吐気逆　1794　杉山流鍼術　島浦和田一.jpg</t>
  </si>
  <si>
    <t>おう　嘔吐症及ひ乾嘔（からえずき）　1912年（大正01）　鍼灸手引草　久木田七郎.jpg</t>
  </si>
  <si>
    <t>おう　嘔吐（ををと）　へとつく　嘔吐　1887（明治20）　鍼灸備要　青山道醇.jpg</t>
  </si>
  <si>
    <t>おう　嘔盛無度　1794　杉山流鍼術　島浦和田一.jpg</t>
  </si>
  <si>
    <t>おう　嘔血　1794　杉山流鍼術　島浦和田一.jpg</t>
  </si>
  <si>
    <t>おう　嘔逆　からえづき　1780　鍼灸極秘伝　木村太沖.jpg</t>
  </si>
  <si>
    <t>おう　横産　1767　鍼灸則　菅沼周桂.jpg</t>
  </si>
  <si>
    <t>おう　横産　よこざん　横位出産　1887（明治20）　鍼灸備要　青山道醇.jpg</t>
  </si>
  <si>
    <t>おう　横産逆産及胞衣不下　1594　経脈方寸秘書　曲直瀬道三.jpg</t>
  </si>
  <si>
    <t>おう　黄疸　0650　千金方　孫思ばく.jpg</t>
  </si>
  <si>
    <t>おう　黄疸　1563　鍼灸集要　曲直瀬道三.jpg</t>
  </si>
  <si>
    <t>おう　黄疸　1574　兪穴参伍的法　秦宗巴.jpg</t>
  </si>
  <si>
    <t>おう　黄疸　1607　扁鵲新流鍼書　越齋寿閑_ページ_1.jpg</t>
  </si>
  <si>
    <t>おう　黄疸　1607　扁鵲新流鍼書　越齋寿閑_ページ_2.jpg</t>
  </si>
  <si>
    <t>おう　黄疸　1624　類経図翼　明・張介賓.jpg</t>
  </si>
  <si>
    <t>おう　黄疸　1679　鍼法奇貨　渡辺東伯_ページ_1.jpg</t>
  </si>
  <si>
    <t>おう　黄疸　1679　鍼法奇貨　渡辺東伯_ページ_2.jpg</t>
  </si>
  <si>
    <t>おう　黄疸　1679　鍼法奇貨　渡辺東伯_ページ_3.jpg</t>
  </si>
  <si>
    <t>おう　黄疸　1679　鍼法奇貨　渡辺東伯_ページ_4.jpg</t>
  </si>
  <si>
    <t>おう　黄疸　1680　鍼灸抜萃　著者未詳.jpg</t>
  </si>
  <si>
    <t>おう　黄疸　1686　鍼灸要法指南　岩田利斎.jpg</t>
  </si>
  <si>
    <t>おう　黄疸　1693　鍼灸要歌集　安井昌玄_ページ_1.jpg</t>
  </si>
  <si>
    <t>おう　黄疸　1693　鍼灸要歌集　安井昌玄_ページ_2.jpg</t>
  </si>
  <si>
    <t>おう　黄疸　1693　鍼灸要歌集　安井昌玄_ページ_3.jpg</t>
  </si>
  <si>
    <t>おう　黄疸　1694　身の黄に成る病なり　療治之大概集　杉山和一.jpg</t>
  </si>
  <si>
    <t>おう　黄疸　1694　選鍼三要集　杉山和一.jpg</t>
  </si>
  <si>
    <t>おう　黄疸　1696　広益鍼灸抜萃　著者未詳_ページ_1.jpg</t>
  </si>
  <si>
    <t>おう　黄疸　1696　広益鍼灸抜萃　著者未詳_ページ_2.jpg</t>
  </si>
  <si>
    <t>おう　黄疸　1718　鍼灸重宝記　本郷正豊.jpg</t>
  </si>
  <si>
    <t>おう　黄疸　1758　灸ぜつ塩土伝　三宅意安_ページ_1.jpg</t>
  </si>
  <si>
    <t>おう　黄疸　1758　灸ぜつ塩土伝　三宅意安_ページ_2.jpg</t>
  </si>
  <si>
    <t>おう　黄疸　1761　挨穴捷径　杉原敦.jpg</t>
  </si>
  <si>
    <t>おう　黄疸　1767　鍼灸則　菅沼周桂_ページ_1.jpg</t>
  </si>
  <si>
    <t>おう　黄疸　1767　鍼灸則　菅沼周桂_ページ_2.jpg</t>
  </si>
  <si>
    <t>おう　黄疸　1773　鍼灸手引草　大簡室主人_ページ_1.jpg</t>
  </si>
  <si>
    <t>おう　黄疸　1773　鍼灸手引草　大簡室主人_ページ_2.jpg</t>
  </si>
  <si>
    <t>おう　黄疸　1780　鍼灸極秘伝　木村太沖.jpg</t>
  </si>
  <si>
    <t>おう　黄疸　1792　鍼法要集　源長起_ページ_1.jpg</t>
  </si>
  <si>
    <t>おう　黄疸　1792　鍼法要集　源長起_ページ_2.jpg</t>
  </si>
  <si>
    <t>おう　黄疸　1792　鍼法要集　源長起_ページ_3.jpg</t>
  </si>
  <si>
    <t>おう　黄疸　1794　杉山流鍼術　島浦和田一.jpg</t>
  </si>
  <si>
    <t>おう　黄疸　1800　鍼灸備要　小坂元祐.jpg</t>
  </si>
  <si>
    <t>おう　黄疸　1807　続名家灸選　平井庸信_ページ_1.jpg</t>
  </si>
  <si>
    <t>おう　黄疸　1807　続名家灸選　平井庸信_ページ_2.jpg</t>
  </si>
  <si>
    <t>おう　黄疸　1813　名家灸選三編　平井庸信.jpg</t>
  </si>
  <si>
    <t>おう　黄疸　1912年（大正01）　鍼灸手引草　久木田七郎.jpg</t>
  </si>
  <si>
    <t>おう　黄疸　成書年未詳　灸穴集　著者未詳_ページ_1.jpg</t>
  </si>
  <si>
    <t>おう　黄疸　成書年未詳　灸穴集　著者未詳_ページ_2.jpg</t>
  </si>
  <si>
    <t>おう　黄疸　成書年未詳　灸穴集　著者未詳_ページ_3.jpg</t>
  </si>
  <si>
    <t>おう　黄疸　成書年未詳　灸穴集　著者未詳_ページ_4.jpg</t>
  </si>
  <si>
    <t>おう　黄疸　成書年未詳　灸穴集　著者未詳_ページ_5.jpg</t>
  </si>
  <si>
    <t>おう　黄疸　成書年未詳　経穴図解　著者未詳.jpg</t>
  </si>
  <si>
    <t>おう　黄疸（わうだん）　きばむ病　肝臓胆液充積症　1887（明治20）　鍼灸備要　青山道醇.jpg</t>
  </si>
  <si>
    <t>おう　黄胆　1220　鍼灸資生経　王執中_ページ_1.jpg</t>
  </si>
  <si>
    <t>おう　黄胆　1220　鍼灸資生経　王執中_ページ_2.jpg</t>
  </si>
  <si>
    <t>おう　黄胖（はん）　あをのやまひ　萎黄病　1887（明治20）　鍼灸備要　青山道醇.jpg</t>
  </si>
  <si>
    <t>おう　黄腫　1767　鍼灸則　菅沼周桂.jpg</t>
  </si>
  <si>
    <t>か　下風　1607　扁鵲新流鍼書　越齋寿閑_ページ_1.jpg</t>
  </si>
  <si>
    <t>か　下風　1607　扁鵲新流鍼書　越齋寿閑_ページ_2.jpg</t>
  </si>
  <si>
    <t>か　夏痩治法　1693　鍼灸要歌集　安井昌玄.jpg</t>
  </si>
  <si>
    <t>か　家法八華　1758　灸ぜつ塩土伝　三宅意安_ページ_1.jpg</t>
  </si>
  <si>
    <t>か　家法八華　1758　灸ぜつ塩土伝　三宅意安_ページ_2.jpg</t>
  </si>
  <si>
    <t>か　家法八華　1758　灸ぜつ塩土伝　三宅意安_ページ_3.jpg</t>
  </si>
  <si>
    <t>か　家法八華　1758　灸ぜつ塩土伝　三宅意安_ページ_4.jpg</t>
  </si>
  <si>
    <t>か　家法八華　1758　灸ぜつ塩土伝　三宅意安_ページ_5.jpg</t>
  </si>
  <si>
    <t>か　火性　1792　鍼法要集　源長起_ページ_1.jpg</t>
  </si>
  <si>
    <t>か　火性　1792　鍼法要集　源長起_ページ_2.jpg</t>
  </si>
  <si>
    <t>か　火性　1792　鍼法要集　源長起_ページ_3.jpg</t>
  </si>
  <si>
    <t>かい　懐妊　1767　鍼灸則　菅沼周桂.jpg</t>
  </si>
  <si>
    <t>かい　懐妊之針　1613　古今集鍼法　長生庵了味か.jpg</t>
  </si>
  <si>
    <t>かい　疥瘡（がいそう）　痂疥　風疹　1686　鍼灸要法指南　岩田利斎.jpg</t>
  </si>
  <si>
    <t>かく　咯血（かくけつ）（＝喀血）　俄（にわか）に血を吐く病　肺臓出血、又、肺出血　1887（明治20）　鍼灸備要　青山道醇.jpg</t>
  </si>
  <si>
    <t>かく　咳血　1794　杉山流鍼術　島浦和田一.jpg</t>
  </si>
  <si>
    <t>かく　喀血　1767　鍼灸則　菅沼周桂.jpg</t>
  </si>
  <si>
    <t>かく　喀血　1794　杉山流鍼術　島浦和田一.jpg</t>
  </si>
  <si>
    <t>かく　喀血　1912年（大正01）　鍼灸手引草　久木田七郎.jpg</t>
  </si>
  <si>
    <t>かく　嘔吐　膈噎　反胃　呑酸　1792　鍼法要集　源長起_ページ_1.jpg</t>
  </si>
  <si>
    <t>かく　嘔吐　膈噎　反胃　呑酸　1792　鍼法要集　源長起_ページ_2.jpg</t>
  </si>
  <si>
    <t>かく　嘔吐　膈噎　反胃　呑酸　1792　鍼法要集　源長起_ページ_3.jpg</t>
  </si>
  <si>
    <t>かく　客忤（小児）　1669　鍼灸枢要　山本玄通_ページ_1.jpg</t>
  </si>
  <si>
    <t>かく　客忤（小児）　1669　鍼灸枢要　山本玄通_ページ_2.jpg</t>
  </si>
  <si>
    <t>かく　痛風　脚気　1792　鍼法要集　源長起_ページ_1.jpg</t>
  </si>
  <si>
    <t>かく　痛風　脚気　1792　鍼法要集　源長起_ページ_2.jpg</t>
  </si>
  <si>
    <t>かく　痛風　脚気　1792　鍼法要集　源長起_ページ_3.jpg</t>
  </si>
  <si>
    <t>かく　脚弱（脚痺）　1220　鍼灸資生経　王執中_ページ_1.jpg</t>
  </si>
  <si>
    <t>かく　脚弱（脚痺）　1220　鍼灸資生経　王執中_ページ_2.jpg</t>
  </si>
  <si>
    <t>かく　脚気　1220　鍼灸資生経　王執中_ページ_1.jpg</t>
  </si>
  <si>
    <t>かく　脚気　1220　鍼灸資生経　王執中_ページ_2.jpg</t>
  </si>
  <si>
    <t>かく　脚気　1220　鍼灸資生経　王執中_ページ_3.jpg</t>
  </si>
  <si>
    <t>かく　脚気　1224　脚気灸風市　医説　宋・張杲_ページ_1.jpg</t>
  </si>
  <si>
    <t>かく　脚気　1224　脚気灸風市　医説　宋・張杲_ページ_2.jpg</t>
  </si>
  <si>
    <t>かく　脚気　1299　続添要穴集　惟宗時俊_ページ_1.jpg</t>
  </si>
  <si>
    <t>かく　脚気　1299　続添要穴集　惟宗時俊_ページ_2.jpg</t>
  </si>
  <si>
    <t>かく　脚気　1329　扁鵲神応鍼灸玉龍経　元・王国瑞_ページ_1.jpg</t>
  </si>
  <si>
    <t>かく　脚気　1329　扁鵲神応鍼灸玉龍経　元・王国瑞_ページ_2.jpg</t>
  </si>
  <si>
    <t>かく　脚気　1537　鍼灸聚英　明・高武.jpg</t>
  </si>
  <si>
    <t>かく　脚気　1574　兪穴参伍的法　秦宗巴_ページ_1.jpg</t>
  </si>
  <si>
    <t>かく　脚気　1574　兪穴参伍的法　秦宗巴_ページ_2.jpg</t>
  </si>
  <si>
    <t>かく　脚気　1594　鍼灸集要　曲直瀬道三_ページ_1.jpg</t>
  </si>
  <si>
    <t>かく　脚気　1594　鍼灸集要　曲直瀬道三_ページ_2.jpg</t>
  </si>
  <si>
    <t>かく　脚気　1607　扁鵲新流鍼書　越齋寿閑.jpg</t>
  </si>
  <si>
    <t>かく　脚気　1624　類経図翼　明・張介賓_ページ_1.jpg</t>
  </si>
  <si>
    <t>かく　脚気　1624　類経図翼　明・張介賓_ページ_2.jpg</t>
  </si>
  <si>
    <t>かく　脚気　1679　鍼法奇貨　渡辺東伯_ページ_1.jpg</t>
  </si>
  <si>
    <t>かく　脚気　1679　鍼法奇貨　渡辺東伯_ページ_2.jpg</t>
  </si>
  <si>
    <t>かく　脚気　1679　鍼法奇貨　渡辺東伯_ページ_3.jpg</t>
  </si>
  <si>
    <t>かく　脚気　1680　鍼灸抜萃　著者未詳.jpg</t>
  </si>
  <si>
    <t>かく　脚気　1693　鍼灸要歌集　安井昌玄_ページ_1.jpg</t>
  </si>
  <si>
    <t>かく　脚気　1693　鍼灸要歌集　安井昌玄_ページ_2.jpg</t>
  </si>
  <si>
    <t>かく　脚気　1694　療治之大概集　杉山和一.jpg</t>
  </si>
  <si>
    <t>かく　脚気　1694　選鍼三要集　杉山和一.jpg</t>
  </si>
  <si>
    <t>かく　脚気　1694　鍼灸そかい集　高津敬節.jpg</t>
  </si>
  <si>
    <t>かく　脚気　1696　広益鍼灸抜萃　著者未詳.jpg</t>
  </si>
  <si>
    <t>かく　脚気　1698　鍼灸抜粋大成　岡本一抱.jpg</t>
  </si>
  <si>
    <t>かく　脚気　1718　あしのいたみ　鍼灸重宝記　本郷正豊.jpg</t>
  </si>
  <si>
    <t>かく　脚気　1758　灸ぜつ塩土伝　三宅意安_ページ_1.jpg</t>
  </si>
  <si>
    <t>かく　脚気　1758　灸ぜつ塩土伝　三宅意安_ページ_2.jpg</t>
  </si>
  <si>
    <t>かく　脚気　1767　鍼灸則　菅沼周桂_ページ_1.jpg</t>
  </si>
  <si>
    <t>かく　脚気　1767　鍼灸則　菅沼周桂_ページ_2.jpg</t>
  </si>
  <si>
    <t>かく　脚気　1773　鍼灸手引草　大簡室主人_ページ_1.jpg</t>
  </si>
  <si>
    <t>かく　脚気　1773　鍼灸手引草　大簡室主人_ページ_2.jpg</t>
  </si>
  <si>
    <t>かく　脚気　1773　鍼灸手引草　大簡室主人_ページ_3.jpg</t>
  </si>
  <si>
    <t>かく　脚気　1780　鍼灸極秘伝　木村太沖.jpg</t>
  </si>
  <si>
    <t>かく　脚気　1785　鍼書　本城義軒.jpg</t>
  </si>
  <si>
    <t>かく　脚気　1794　杉山流鍼術　島浦和田一_ページ_1.jpg</t>
  </si>
  <si>
    <t>かく　脚気　1794　杉山流鍼術　島浦和田一_ページ_2.jpg</t>
  </si>
  <si>
    <t>かく　脚気　1807　続名家灸選　平井庸信_ページ_1.jpg</t>
  </si>
  <si>
    <t>かく　脚気　1807　続名家灸選　平井庸信_ページ_2.jpg</t>
  </si>
  <si>
    <t>かく　脚気　1813　名家灸選三編　平井庸信.jpg</t>
  </si>
  <si>
    <t>かく　脚気　成書年未詳　灸穴集　著者未詳_ページ_1.jpg</t>
  </si>
  <si>
    <t>かく　脚気　成書年未詳　灸穴集　著者未詳_ページ_2.jpg</t>
  </si>
  <si>
    <t>かく　脚気　成書年未詳　灸穴集　著者未詳_ページ_3.jpg</t>
  </si>
  <si>
    <t>かく　脚気　成書年未詳　灸穴集　著者未詳_ページ_4.jpg</t>
  </si>
  <si>
    <t>かく　脚気　成書年未詳　灸穴集　著者未詳_ページ_5.jpg</t>
  </si>
  <si>
    <t>かく　脚気　成書年未詳　灸穴集　著者未詳_ページ_6.jpg</t>
  </si>
  <si>
    <t>かく　脚気　成書年未詳　灸穴集　著者未詳_ページ_7.jpg</t>
  </si>
  <si>
    <t>かく　脚気　成書年未詳　灸穴集　著者未詳_ページ_8.jpg</t>
  </si>
  <si>
    <t>かく　脚気　成書年未詳　経穴図解　著者未詳.jpg</t>
  </si>
  <si>
    <t>かく　脚気　玉機微義針灸証治　1537　鍼灸聚英　明・高武.jpg</t>
  </si>
  <si>
    <t>かく　脚気灸法　千金方　外台　1912年（大正01）　鍼灸手引草　久木田七郎.jpg</t>
  </si>
  <si>
    <t>かく　脚気症　1912年（大正01）　鍼灸手引草　久木田七郎.jpg</t>
  </si>
  <si>
    <t>かく　脚気転筋　1299　続添要穴集　惟宗時俊.jpg</t>
  </si>
  <si>
    <t>かく　脚気（かくけ）　あしのけ　脚気　1887（明治20）　鍼灸備要　青山道醇.jpg</t>
  </si>
  <si>
    <t>かく　脚疾　1329　扁鵲神応鍼灸玉龍経　元・王国瑞.jpg</t>
  </si>
  <si>
    <t>かく　脚痛　かつけ　1686　鍼灸要法指南　岩田利斎_ページ_1.jpg</t>
  </si>
  <si>
    <t>かく　脚痛　かつけ　1686　鍼灸要法指南　岩田利斎_ページ_2.jpg</t>
  </si>
  <si>
    <t>かく　脚細筋疼　1329　扁鵲神応鍼灸玉龍経　元・王国瑞.jpg</t>
  </si>
  <si>
    <t>かく　脚背痛　1329　扁鵲神応鍼灸玉龍経　元・王国瑞.jpg</t>
  </si>
  <si>
    <t>かく　脚腫　1220　鍼灸資生経　王執中.jpg</t>
  </si>
  <si>
    <t>かく　脚腫　1329　扁鵲神応鍼灸玉龍経　元・王国瑞_ページ_1.jpg</t>
  </si>
  <si>
    <t>かく　脚腫　1329　扁鵲神応鍼灸玉龍経　元・王国瑞_ページ_2.jpg</t>
  </si>
  <si>
    <t>かく　脚膝又は攣急不仁　1912年（大正01）　鍼灸手引草　久木田七郎_ページ_1.jpg</t>
  </si>
  <si>
    <t>かく　脚膝又は攣急不仁　1912年（大正01）　鍼灸手引草　久木田七郎_ページ_2.jpg</t>
  </si>
  <si>
    <t>かく　脚膝痛（攣急不収不仁）　1220　鍼灸資生経　王執中_ページ_1.jpg</t>
  </si>
  <si>
    <t>かく　脚膝痛（攣急不収不仁）　1220　鍼灸資生経　王執中_ページ_2.jpg</t>
  </si>
  <si>
    <t>かく　脚転筋　1224　医説　宋・張杲.jpg</t>
  </si>
  <si>
    <t>かく　膈の病　1607　扁鵲新流鍼書　越齋寿閑.jpg</t>
  </si>
  <si>
    <t>かく　膈之針　1685　鍼道秘訣集　御園夢分斎_ページ_1.jpg</t>
  </si>
  <si>
    <t>かく　膈之針　1685　鍼道秘訣集　御園夢分斎_ページ_2.jpg</t>
  </si>
  <si>
    <t>かく　膈噎　1537　鍼灸聚英　明・高武.jpg</t>
  </si>
  <si>
    <t>かく　膈噎　1698　隔噎　鍼灸抜粋大成　岡本一抱_ページ_1.jpg</t>
  </si>
  <si>
    <t>かく　膈噎　1698　隔噎　鍼灸抜粋大成　岡本一抱_ページ_2.jpg</t>
  </si>
  <si>
    <t>かく　膈噎　1758　灸ぜつ塩土伝　三宅意安.jpg</t>
  </si>
  <si>
    <t>かく　膈噎　1785　鍼書　本城義軒.jpg</t>
  </si>
  <si>
    <t>かく　膈噎　1800　岡田流鍼術書　岡田見龍_ページ_1.jpg</t>
  </si>
  <si>
    <t>かく　膈噎　1800　岡田流鍼術書　岡田見龍_ページ_2.jpg</t>
  </si>
  <si>
    <t>かく　膈噎　呑酸　反胃　1807　続名家灸選　平井庸信.jpg</t>
  </si>
  <si>
    <t>かく　膈噎　成書年未詳　経穴図解　著者未詳.jpg</t>
  </si>
  <si>
    <t>かく　膈噎　翻胃　1686　（かくいつ）（ほんい）　鍼灸要法指南　岩田利斎_ページ_1.jpg</t>
  </si>
  <si>
    <t>かく　膈噎　翻胃　1686　（かくいつ）（ほんい）　鍼灸要法指南　岩田利斎_ページ_2.jpg</t>
  </si>
  <si>
    <t>かく　膈噎　翻胃　1813　名家灸選　浅井惟亨_ページ_1.jpg</t>
  </si>
  <si>
    <t>かく　膈噎　翻胃　1813　名家灸選　浅井惟亨_ページ_2.jpg</t>
  </si>
  <si>
    <t>かく　膈噎　翻胃　かく　1718　鍼灸重宝記　本郷正豊.jpg</t>
  </si>
  <si>
    <t>かく　膈噎　翻胃　成書年未詳　灸穴集　著者未詳.jpg</t>
  </si>
  <si>
    <t>かく　膈噎（食道嵓）　1912年（大正01）　鍼灸手引草　久木田七郎.jpg</t>
  </si>
  <si>
    <t>かく　膈証（かくしよう）　かくのやまい　食道狭窄　1887（明治20）　鍼灸備要　青山道醇.jpg</t>
  </si>
  <si>
    <t>かく　角弓反張　1624　類経図翼　明・張介賓.jpg</t>
  </si>
  <si>
    <t>かく　角弓反張　1765　鍼法弁惑　藤井秀孟.jpg</t>
  </si>
  <si>
    <t>かく　角弓反張　1794　杉山流鍼術　島浦和田一_ページ_1.jpg</t>
  </si>
  <si>
    <t>かく　角弓反張　1794　杉山流鍼術　島浦和田一_ページ_2.jpg</t>
  </si>
  <si>
    <t>かく　角弓反張　1800　鍼灸備要　小坂元祐.jpg</t>
  </si>
  <si>
    <t>かく　角弓反張（小児）　1669　鍼灸枢要　山本玄通_ページ_1.jpg</t>
  </si>
  <si>
    <t>かく　角弓反張（小児）　1669　鍼灸枢要　山本玄通_ページ_2.jpg</t>
  </si>
  <si>
    <t>かく　霍乱　0300　●気乱於腸胃発霍乱吐下　第四　鍼灸甲乙経　皇甫謐_ページ_1.jpg</t>
  </si>
  <si>
    <t>かく　霍乱　0300　●気乱於腸胃発霍乱吐下　第四　鍼灸甲乙経　皇甫謐_ページ_2.jpg</t>
  </si>
  <si>
    <t>かく　霍乱　0650　千金方　孫思ばく_ページ_1.jpg</t>
  </si>
  <si>
    <t>かく　霍乱　0650　千金方　孫思ばく_ページ_2.jpg</t>
  </si>
  <si>
    <t>かく　霍乱　1226　備急灸法　宋・聞人耆年.jpg</t>
  </si>
  <si>
    <t>かく　霍乱　1425　神応経　明・陳会撰・劉瑾重校_ページ_1.jpg</t>
  </si>
  <si>
    <t>かく　霍乱　1425　神応経　明・陳会撰・劉瑾重校_ページ_2.jpg</t>
  </si>
  <si>
    <t>かく　霍乱　1537　鍼灸聚英　明・高武.jpg</t>
  </si>
  <si>
    <t>かく　霍乱　1563　鍼灸集要　曲直瀬道三.jpg</t>
  </si>
  <si>
    <t>かく　霍乱　1574　兪穴参伍的法　秦宗巴.jpg</t>
  </si>
  <si>
    <t>かく　霍乱　1607　扁鵲新流鍼書　越齋寿閑.jpg</t>
  </si>
  <si>
    <t>かく　霍乱　1613　古今集鍼法　長生庵了味か.jpg</t>
  </si>
  <si>
    <t>かく　霍乱　1679　鍼法奇貨　渡辺東伯_ページ_1.jpg</t>
  </si>
  <si>
    <t>かく　霍乱　1679　鍼法奇貨　渡辺東伯_ページ_2.jpg</t>
  </si>
  <si>
    <t>かく　霍乱　1679　鍼法奇貨　渡辺東伯_ページ_3.jpg</t>
  </si>
  <si>
    <t>かく　霍乱　1679　鍼法奇貨　渡辺東伯_ページ_4.jpg</t>
  </si>
  <si>
    <t>かく　霍乱　1679　鍼法奇貨　渡辺東伯_ページ_5.jpg</t>
  </si>
  <si>
    <t>かく　霍乱　1680　鍼灸抜萃　著者未詳.jpg</t>
  </si>
  <si>
    <t>かく　霍乱　1686　鍼灸要法指南　岩田利斎_ページ_1.jpg</t>
  </si>
  <si>
    <t>かく　霍乱　1686　鍼灸要法指南　岩田利斎_ページ_2.jpg</t>
  </si>
  <si>
    <t>かく　霍乱　1693　鍼灸要歌集　安井昌玄_ページ_1.jpg</t>
  </si>
  <si>
    <t>かく　霍乱　1693　鍼灸要歌集　安井昌玄_ページ_2.jpg</t>
  </si>
  <si>
    <t>かく　霍乱　1693　鍼灸要歌集　安井昌玄_ページ_3.jpg</t>
  </si>
  <si>
    <t>かく　霍乱　1694　療治之大概集　杉山和一.jpg</t>
  </si>
  <si>
    <t>かく　霍乱　1694　選鍼三要集　杉山和一.jpg</t>
  </si>
  <si>
    <t>かく　霍乱　1694　鍼灸そかい集　高津敬節.jpg</t>
  </si>
  <si>
    <t>かく　霍乱　1696　広益鍼灸抜萃　著者未詳_ページ_1.jpg</t>
  </si>
  <si>
    <t>かく　霍乱　1696　広益鍼灸抜萃　著者未詳_ページ_2.jpg</t>
  </si>
  <si>
    <t>かく　霍乱　1696　広益鍼灸抜萃　著者未詳_ページ_3.jpg</t>
  </si>
  <si>
    <t>かく　霍乱　1698　鍼灸抜粋大成　岡本一抱.jpg</t>
  </si>
  <si>
    <t>かく　霍乱　1718　鍼灸重宝記　本郷正豊_ページ_1.jpg</t>
  </si>
  <si>
    <t>かく　霍乱　1718　鍼灸重宝記　本郷正豊_ページ_2.jpg</t>
  </si>
  <si>
    <t>かく　霍乱　1767　鍼灸則　菅沼周桂.jpg</t>
  </si>
  <si>
    <t>かく　霍乱　1773　鍼灸手引草　大簡室主人_ページ_1.jpg</t>
  </si>
  <si>
    <t>かく　霍乱　1773　鍼灸手引草　大簡室主人_ページ_2.jpg</t>
  </si>
  <si>
    <t>かく　霍乱　1780　鍼灸極秘伝　木村太沖.jpg</t>
  </si>
  <si>
    <t>かく　霍乱　1780吐を取りて以て先と為す　かくらんは、はやく吐きてよき事　鍼灸極秘伝　木村太沖.jpg</t>
  </si>
  <si>
    <t>かく　霍乱　1785　鍼書　本城義軒.jpg</t>
  </si>
  <si>
    <t>かく　霍乱　1792　鍼法要集　源長起_ページ_1.jpg</t>
  </si>
  <si>
    <t>かく　霍乱　1792　鍼法要集　源長起_ページ_2.jpg</t>
  </si>
  <si>
    <t>かく　霍乱　1794　杉山流鍼術　島浦和田一_ページ_1.jpg</t>
  </si>
  <si>
    <t>かく　霍乱　1794　杉山流鍼術　島浦和田一_ページ_2.jpg</t>
  </si>
  <si>
    <t>かく　霍乱　1807　続名家灸選　平井庸信_ページ_1.jpg</t>
  </si>
  <si>
    <t>かく　霍乱　1807　続名家灸選　平井庸信_ページ_2.jpg</t>
  </si>
  <si>
    <t>かく　霍乱　1813　名家灸選　浅井惟亨_ページ_1.jpg</t>
  </si>
  <si>
    <t>かく　霍乱　1813　名家灸選　浅井惟亨_ページ_2.jpg</t>
  </si>
  <si>
    <t>かく　霍乱　1813　名家灸選三編　平井庸信_ページ_1.jpg</t>
  </si>
  <si>
    <t>かく　霍乱　1813　名家灸選三編　平井庸信_ページ_2.jpg</t>
  </si>
  <si>
    <t>かく　霍乱　小児　1694　選鍼三要集　杉山和一.jpg</t>
  </si>
  <si>
    <t>かく　霍乱　成書年未詳　灸穴集　著者未詳_ページ_1.jpg</t>
  </si>
  <si>
    <t>かく　霍乱　成書年未詳　灸穴集　著者未詳_ページ_2.jpg</t>
  </si>
  <si>
    <t>かく　霍乱　成書年未詳　灸穴集　著者未詳_ページ_3.jpg</t>
  </si>
  <si>
    <t>かく　霍乱　成書年未詳　灸穴集　著者未詳_ページ_4.jpg</t>
  </si>
  <si>
    <t>かく　霍乱　成書年未詳　経穴図解　著者未詳.jpg</t>
  </si>
  <si>
    <t>かく　霍乱吐瀉する者　かくらん、はきたり、下したりする人　1780　鍼灸極秘伝　木村太沖.jpg</t>
  </si>
  <si>
    <t>かく　霍乱吐瀉（余見転筋）　1220　鍼灸資生経　王執中_ページ_1.jpg</t>
  </si>
  <si>
    <t>かく　霍乱吐瀉（余見転筋）　1220　鍼灸資生経　王執中_ページ_2.jpg</t>
  </si>
  <si>
    <t>かく　霍乱嘔吐する者　かくらん、はくことしげく、からえづきある人　1780　鍼灸極秘伝　木村太沖.jpg</t>
  </si>
  <si>
    <t>かく　霍乱腹痛妙灸　1594　経脈方寸秘書　曲直瀬道三.jpg</t>
  </si>
  <si>
    <t>かく　霍乱転筋　1220　鍼灸資生経　王執中_ページ_1.jpg</t>
  </si>
  <si>
    <t>かく　霍乱転筋　1220　鍼灸資生経　王執中_ページ_2.jpg</t>
  </si>
  <si>
    <t>かく　霍乱転筋　1226　備急灸法　宋・聞人耆年.jpg</t>
  </si>
  <si>
    <t>かく　霍乱（くわくらん）　しりより口よりこくやまい　特発虎列剌（とくはつコレラ）　1887（明治20）　鍼灸備要　青山道醇.jpg</t>
  </si>
  <si>
    <t>かく　霍乱（＝癨乱）　1669　鍼灸枢要　山本玄通_ページ_1.jpg</t>
  </si>
  <si>
    <t>かく　霍乱（＝癨乱）　1669　鍼灸枢要　山本玄通_ページ_2.jpg</t>
  </si>
  <si>
    <t>かく　霍乱（＝癨乱）　1669　鍼灸枢要　山本玄通_ページ_3.jpg</t>
  </si>
  <si>
    <t>かく　霍乱（＝癨乱）　1669　鍼灸枢要　山本玄通_ページ_4.jpg</t>
  </si>
  <si>
    <t>かく　霍乱（＝癨乱）　1669　鍼灸枢要　山本玄通_ページ_5.jpg</t>
  </si>
  <si>
    <t>かく　霍乱（＝癨乱）アゲクダシノヤマヒ　1800　鍼灸備要　小坂元祐_ページ_1.jpg</t>
  </si>
  <si>
    <t>かく　霍乱（＝癨乱）アゲクダシノヤマヒ　1800　鍼灸備要　小坂元祐_ページ_2.jpg</t>
  </si>
  <si>
    <t>かく　霍乱（＝癨乱）アゲクダシノヤマヒ　1800　鍼灸備要　小坂元祐_ページ_3.jpg</t>
  </si>
  <si>
    <t>かく　鬲痛　1220　鍼灸資生経　王執中_ページ_1.jpg</t>
  </si>
  <si>
    <t>かく　鬲痛　1220　鍼灸資生経　王執中_ページ_2.jpg</t>
  </si>
  <si>
    <t>かく　鶴膝風　1800　岡田流鍼術書　岡田見龍_ページ_1.jpg</t>
  </si>
  <si>
    <t>かく　鶴膝風　1800　岡田流鍼術書　岡田見龍_ページ_2.jpg</t>
  </si>
  <si>
    <t>かつ　活針　1800　岡田流鍼術書　岡田見龍_ページ_1.jpg</t>
  </si>
  <si>
    <t>かつ　活針　1800　岡田流鍼術書　岡田見龍_ページ_2.jpg</t>
  </si>
  <si>
    <t>かつ　蝎螫不可忍者　1315　鍼経摘英集　元・杜思敬「済生抜粋方」.jpg</t>
  </si>
  <si>
    <t>かん　かん痛　1794　杉山流鍼術　島浦和田一.jpg</t>
  </si>
  <si>
    <t>かん　かん痛　1794　杉山流鍼術　島浦和田一_ページ_1.jpg</t>
  </si>
  <si>
    <t>かん　かん痛　1794　杉山流鍼術　島浦和田一_ページ_2.jpg</t>
  </si>
  <si>
    <t>かん　乾嘔　1220　鍼灸資生経　王執中.jpg</t>
  </si>
  <si>
    <t>かん　乾嘔（かんのを）　からへづき　乾嘔、又、仮嘔（かをを）　1887（明治20）　鍼灸備要　青山道醇.jpg</t>
  </si>
  <si>
    <t>かん　乾霍乱　1694　選鍼三要集　杉山和一.jpg</t>
  </si>
  <si>
    <t>かん　乾霍乱、吐瀉なくして唯（た）だ悶絶する者　かくらん、吐も瀉もなく、もんぜつする人　1780　鍼灸極秘伝　木村太沖.jpg</t>
  </si>
  <si>
    <t>かん　五疳　1686　鍼灸要法指南　岩田利斎_ページ_1.jpg</t>
  </si>
  <si>
    <t>かん　五疳　1686　鍼灸要法指南　岩田利斎_ページ_2.jpg</t>
  </si>
  <si>
    <t>かん　五疳　1693　鍼灸要歌集　安井昌玄_ページ_1.jpg</t>
  </si>
  <si>
    <t>かん　五疳　1693　鍼灸要歌集　安井昌玄_ページ_2.jpg</t>
  </si>
  <si>
    <t>かん　五疳　1693　鍼灸要歌集　安井昌玄_ページ_3.jpg</t>
  </si>
  <si>
    <t>かん　五疳　1693　鍼灸要歌集　安井昌玄_ページ_4.jpg</t>
  </si>
  <si>
    <t>かん　五疳　1693　鍼灸要歌集　安井昌玄_ページ_5.jpg</t>
  </si>
  <si>
    <t>かん　五疳　1718　鍼灸重宝記　本郷正豊.jpg</t>
  </si>
  <si>
    <t>かん　五疳　1773　鍼灸手引草　大簡室主人_ページ_1.jpg</t>
  </si>
  <si>
    <t>かん　五疳　1773　鍼灸手引草　大簡室主人_ページ_2.jpg</t>
  </si>
  <si>
    <t>かん　五疳　1792　鍼法要集　源長起_ページ_1.jpg</t>
  </si>
  <si>
    <t>かん　五疳　1792　鍼法要集　源長起_ページ_2.jpg</t>
  </si>
  <si>
    <t>かん　寒　1537　鍼灸聚英　明・高武_ページ_1.jpg</t>
  </si>
  <si>
    <t>かん　寒　1537　鍼灸聚英　明・高武_ページ_2.jpg</t>
  </si>
  <si>
    <t>かん　寒熱　0300　●五臓伝病発寒熱　第一上　鍼灸甲乙経　皇甫謐_ページ_1.jpg</t>
  </si>
  <si>
    <t>かん　寒熱　0300　●五臓伝病発寒熱　第一上　鍼灸甲乙経　皇甫謐_ページ_2.jpg</t>
  </si>
  <si>
    <t>かん　寒熱　0300　●五臓伝病発寒熱　第一上　鍼灸甲乙経　皇甫謐_ページ_3.jpg</t>
  </si>
  <si>
    <t>かん　寒熱　0300　●五臓伝病発寒熱　第一上　鍼灸甲乙経　皇甫謐_ページ_4.jpg</t>
  </si>
  <si>
    <t>かん　寒熱　0300　●五臓伝病発寒熱　第一下　鍼灸甲乙経　皇甫謐_ページ_1.jpg</t>
  </si>
  <si>
    <t>かん　寒熱　0300　●五臓伝病発寒熱　第一下　鍼灸甲乙経　皇甫謐_ページ_2.jpg</t>
  </si>
  <si>
    <t>かん　寒熱　0300　●五臓伝病発寒熱　第一下　鍼灸甲乙経　皇甫謐_ページ_3.jpg</t>
  </si>
  <si>
    <t>かん　寒熱　0300　●五臓伝病発寒熱　第一下　鍼灸甲乙経　皇甫謐_ページ_4.jpg</t>
  </si>
  <si>
    <t>かん　寒熱　1220　鍼灸資生経　王執中_ページ_1.jpg</t>
  </si>
  <si>
    <t>かん　寒熱　1220　鍼灸資生経　王執中_ページ_2.jpg</t>
  </si>
  <si>
    <t>かん　寒熱　1299　続添要穴集　惟宗時俊.jpg</t>
  </si>
  <si>
    <t>かん　寒痰　1694　選鍼三要集　杉山和一.jpg</t>
  </si>
  <si>
    <t>かん　汗　1425　神応経　明・陳会撰・劉瑾重校.jpg</t>
  </si>
  <si>
    <t>かん　汗　1679　鍼法奇貨　渡辺東伯_ページ_1.jpg</t>
  </si>
  <si>
    <t>かん　汗　1679　鍼法奇貨　渡辺東伯_ページ_2.jpg</t>
  </si>
  <si>
    <t>かん　汗　1679　鍼法奇貨　渡辺東伯_ページ_3.jpg</t>
  </si>
  <si>
    <t>かん　汗　1680　鍼灸抜萃　著者未詳.jpg</t>
  </si>
  <si>
    <t>かん　汗　1693　鍼灸要歌集　安井昌玄.jpg</t>
  </si>
  <si>
    <t>かん　汗　1694　鍼灸そかい集　高津敬節.jpg</t>
  </si>
  <si>
    <t>かん　汗　1696　広益鍼灸抜萃　著者未詳.jpg</t>
  </si>
  <si>
    <t>かん　汗　1718　鍼灸重宝記　本郷正豊.jpg</t>
  </si>
  <si>
    <t>かん　汗　1794　杉山流鍼術　島浦和田一.jpg</t>
  </si>
  <si>
    <t>かん　汗　1800　鍼灸備要　小坂元祐.jpg</t>
  </si>
  <si>
    <t>かん　汗不出　1220　鍼灸資生経　王執中_ページ_1.jpg</t>
  </si>
  <si>
    <t>かん　汗不出　1220　鍼灸資生経　王執中_ページ_2.jpg</t>
  </si>
  <si>
    <t>かん　汗不出　1299　続添要穴集　惟宗時俊.jpg</t>
  </si>
  <si>
    <t>かん　汗不出　1694　選鍼三要集　杉山和一.jpg</t>
  </si>
  <si>
    <t>かん　汗不止　1765　鍼法弁惑　藤井秀孟.jpg</t>
  </si>
  <si>
    <t>かん　汗出　1299　続添要穴集　惟宗時俊.jpg</t>
  </si>
  <si>
    <t>かん　汗吐下（かんとげ）　1686　鍼灸要法指南　岩田利斎_ページ_1.jpg</t>
  </si>
  <si>
    <t>かん　汗吐下（かんとげ）　1686　鍼灸要法指南　岩田利斎_ページ_2.jpg</t>
  </si>
  <si>
    <t>かん　汗症　1698　鍼灸抜粋大成　岡本一抱.jpg</t>
  </si>
  <si>
    <t>かん　汗証　1669　鍼灸枢要　山本玄通_ページ_1.jpg</t>
  </si>
  <si>
    <t>かん　汗証　1669　鍼灸枢要　山本玄通_ページ_2.jpg</t>
  </si>
  <si>
    <t>かん　汗証　1669　鍼灸枢要　山本玄通_ページ_3.jpg</t>
  </si>
  <si>
    <t>かん　汗証　1669　鍼灸枢要　山本玄通_ページ_4.jpg</t>
  </si>
  <si>
    <t>かん　汗証　1686　鍼灸要法指南　岩田利斎_ページ_1.jpg</t>
  </si>
  <si>
    <t>かん　汗証　1686　鍼灸要法指南　岩田利斎_ページ_2.jpg</t>
  </si>
  <si>
    <t>かん　汗証　1792　鍼法要集　源長起.jpg</t>
  </si>
  <si>
    <t>かん　疳　1669　（小児）　鍼灸枢要　山本玄通_ページ_1.jpg</t>
  </si>
  <si>
    <t>かん　疳　1669　（小児）　鍼灸枢要　山本玄通_ページ_2.jpg</t>
  </si>
  <si>
    <t>かん　疳　1685　鍼道秘訣集　御園夢分斎_ページ_1.jpg</t>
  </si>
  <si>
    <t>かん　疳　1685　鍼道秘訣集　御園夢分斎_ページ_2.jpg</t>
  </si>
  <si>
    <t>かん　疳　1694　療治之大概集　杉山和一.jpg</t>
  </si>
  <si>
    <t>かん　疳　1767　（小児）　鍼灸則　菅沼周桂.jpg</t>
  </si>
  <si>
    <t>かん　疳　1767　（小児）　鍼灸則　菅沼周桂_ページ_1.jpg</t>
  </si>
  <si>
    <t>かん　疳　1767　（小児）　鍼灸則　菅沼周桂_ページ_2.jpg</t>
  </si>
  <si>
    <t>かん　疳　1794　杉山流鍼術　島浦和田一.jpg</t>
  </si>
  <si>
    <t>かん　疳　1800　鍼灸備要　小坂元祐_ページ_1.jpg</t>
  </si>
  <si>
    <t>かん　疳　1800　鍼灸備要　小坂元祐_ページ_2.jpg</t>
  </si>
  <si>
    <t>かん　疳　1807　続名家灸選　平井庸信.jpg</t>
  </si>
  <si>
    <t>かん　疳　1813　名家灸選三編　平井庸信_ページ_1.jpg</t>
  </si>
  <si>
    <t>かん　疳　1813　名家灸選三編　平井庸信_ページ_2.jpg</t>
  </si>
  <si>
    <t>かん　疳気　1607　小児の　扁鵲新流鍼書　越齋寿閑_ページ_1.jpg</t>
  </si>
  <si>
    <t>かん　疳気　1607　小児の　扁鵲新流鍼書　越齋寿閑_ページ_2.jpg</t>
  </si>
  <si>
    <t>かん　疳痩　1703　小児　鍼灸阿是要穴　岡本一抱_ページ_1.jpg</t>
  </si>
  <si>
    <t>かん　疳痩　1703　小児　鍼灸阿是要穴　岡本一抱_ページ_2.jpg</t>
  </si>
  <si>
    <t>かん　疳癖　1694　鍼灸そかい集　高津敬節_ページ_1.jpg</t>
  </si>
  <si>
    <t>かん　疳癖　1694　鍼灸そかい集　高津敬節_ページ_2.jpg</t>
  </si>
  <si>
    <t>かん　疳眼　1694　選鍼三要集　杉山和一.jpg</t>
  </si>
  <si>
    <t>かん　疳証　成書年未詳　灸穴集　著者未詳.jpg</t>
  </si>
  <si>
    <t>かん　疳証　成書年未詳　灸穴集　著者未詳_ページ_1.jpg</t>
  </si>
  <si>
    <t>かん　疳証　成書年未詳　灸穴集　著者未詳_ページ_2.jpg</t>
  </si>
  <si>
    <t>かん　疳証　成書年未詳　灸穴集　著者未詳_ページ_3.jpg</t>
  </si>
  <si>
    <t>かん　疳証　成書年未詳　灸穴集　著者未詳_ページ_4.jpg</t>
  </si>
  <si>
    <t>かん　疳証　成書年未詳　灸穴集　著者未詳_ページ_5.jpg</t>
  </si>
  <si>
    <t>かん　疳証　成書年未詳　灸穴集　著者未詳_ページ_6.jpg</t>
  </si>
  <si>
    <t>かん　癇　1537　鍼灸聚英　明・高武.jpg</t>
  </si>
  <si>
    <t>かん　癇　1669　（小児）　鍼灸枢要　山本玄通_ページ_1.jpg</t>
  </si>
  <si>
    <t>かん　癇　1669　（小児）　鍼灸枢要　山本玄通_ページ_2.jpg</t>
  </si>
  <si>
    <t>かん　癇　1669　（小児）　鍼灸枢要　山本玄通_ページ_3.jpg</t>
  </si>
  <si>
    <t>かん　癇　1669　（小児）　鍼灸枢要　山本玄通_ページ_4.jpg</t>
  </si>
  <si>
    <t>かん　癇　1669　（小児）　鍼灸枢要　山本玄通_ページ_5.jpg</t>
  </si>
  <si>
    <t>かん　癇　1669　（小児）　鍼灸枢要　山本玄通_ページ_6.jpg</t>
  </si>
  <si>
    <t>かん　癇　1669　（小児）　鍼灸枢要　山本玄通_ページ_7.jpg</t>
  </si>
  <si>
    <t>かん　癇　1669　（小児）　鍼灸枢要　山本玄通_ページ_8.jpg</t>
  </si>
  <si>
    <t>かん　癇　1669　（小児）　鍼灸枢要　山本玄通_ページ_9.jpg</t>
  </si>
  <si>
    <t>かん　癇　1767　鍼灸則　菅沼周桂_ページ_1.jpg</t>
  </si>
  <si>
    <t>かん　癇　1767　鍼灸則　菅沼周桂_ページ_2.jpg</t>
  </si>
  <si>
    <t>かん　癇　1794　杉山流鍼術　島浦和田一.jpg</t>
  </si>
  <si>
    <t>かん　癇　1800　鍼灸備要　小坂元祐_ページ_1.jpg</t>
  </si>
  <si>
    <t>かん　癇　1800　鍼灸備要　小坂元祐_ページ_2.jpg</t>
  </si>
  <si>
    <t>かん　癇　1800　鍼灸備要　小坂元祐_ページ_3.jpg</t>
  </si>
  <si>
    <t>かん　癇　1800　鍼灸備要　小坂元祐_ページ_4.jpg</t>
  </si>
  <si>
    <t>かん　癇　1800　鍼灸備要　小坂元祐_ページ_5.jpg</t>
  </si>
  <si>
    <t>かん　癇　1800　鍼灸備要　小坂元祐_ページ_6.jpg</t>
  </si>
  <si>
    <t>かん　癇　玉機微義針灸証治　1537　鍼灸聚英　明・高武_ページ_1.jpg</t>
  </si>
  <si>
    <t>かん　癇　玉機微義針灸証治　1537　鍼灸聚英　明・高武_ページ_2.jpg</t>
  </si>
  <si>
    <t>かん　癲　1686　鍼灸要法指南　岩田利斎_ページ_1.jpg</t>
  </si>
  <si>
    <t>かん　癲　1686　鍼灸要法指南　岩田利斎_ページ_2.jpg</t>
  </si>
  <si>
    <t>かん　肝の積　1607　扁鵲新流鍼書　越齋寿閑.jpg</t>
  </si>
  <si>
    <t>かん　肝積名肥気、在左脇下　1694　選鍼三要集　杉山和一.jpg</t>
  </si>
  <si>
    <t>かん　関格　1767　鍼灸則　菅沼周桂_ページ_1.jpg</t>
  </si>
  <si>
    <t>かん　関格　1767　鍼灸則　菅沼周桂_ページ_2.jpg</t>
  </si>
  <si>
    <t>が　牙歯　1563　鍼灸集要　曲直瀬道三.jpg</t>
  </si>
  <si>
    <t>が　牙歯　1669　鍼灸枢要　山本玄通_ページ_1.jpg</t>
  </si>
  <si>
    <t>が　牙歯　1669　鍼灸枢要　山本玄通_ページ_2.jpg</t>
  </si>
  <si>
    <t>が　牙歯　1669　鍼灸枢要　山本玄通_ページ_3.jpg</t>
  </si>
  <si>
    <t>が　牙歯　1669　鍼灸枢要　山本玄通_ページ_4.jpg</t>
  </si>
  <si>
    <t>が　牙歯　1669　鍼灸枢要　山本玄通_ページ_5.jpg</t>
  </si>
  <si>
    <t>が　牙歯　1679　鍼法奇貨　渡辺東伯_ページ_1.jpg</t>
  </si>
  <si>
    <t>が　牙歯　1679　鍼法奇貨　渡辺東伯_ページ_2.jpg</t>
  </si>
  <si>
    <t>が　牙歯　1679　鍼法奇貨　渡辺東伯_ページ_3.jpg</t>
  </si>
  <si>
    <t>が　牙歯　1679　鍼法奇貨　渡辺東伯_ページ_4.jpg</t>
  </si>
  <si>
    <t>が　牙歯　1679　鍼法奇貨　渡辺東伯_ページ_5.jpg</t>
  </si>
  <si>
    <t>が　牙歯　1680　鍼灸抜萃　著者未詳.jpg</t>
  </si>
  <si>
    <t>が　牙歯　1686　鍼灸要法指南　岩田利斎.jpg</t>
  </si>
  <si>
    <t>が　牙歯　1693　鍼灸要歌集　安井昌玄_ページ_1.jpg</t>
  </si>
  <si>
    <t>が　牙歯　1693　鍼灸要歌集　安井昌玄_ページ_2.jpg</t>
  </si>
  <si>
    <t>が　牙歯　1694　鍼灸そかい集　高津敬節_ページ_1.jpg</t>
  </si>
  <si>
    <t>が　牙歯　1694　鍼灸そかい集　高津敬節_ページ_2.jpg</t>
  </si>
  <si>
    <t>が　牙歯　1696　広益鍼灸抜萃　著者未詳_ページ_1.jpg</t>
  </si>
  <si>
    <t>が　牙歯　1696　広益鍼灸抜萃　著者未詳_ページ_2.jpg</t>
  </si>
  <si>
    <t>が　牙歯　1698　鍼灸抜粋大成　岡本一抱.jpg</t>
  </si>
  <si>
    <t>が　牙歯　1718　鍼灸重宝記　本郷正豊_ページ_1.jpg</t>
  </si>
  <si>
    <t>が　牙歯　1718　鍼灸重宝記　本郷正豊_ページ_2.jpg</t>
  </si>
  <si>
    <t>が　牙歯　1773　鍼灸手引草　大簡室主人_ページ_1.jpg</t>
  </si>
  <si>
    <t>が　牙歯　1773　鍼灸手引草　大簡室主人_ページ_2.jpg</t>
  </si>
  <si>
    <t>が　牙歯　1792　鍼法要集　源長起_ページ_1.jpg</t>
  </si>
  <si>
    <t>が　牙歯　1792　鍼法要集　源長起_ページ_2.jpg</t>
  </si>
  <si>
    <t>が　牙歯　1800　鍼灸備要　小坂元祐_ページ_1.jpg</t>
  </si>
  <si>
    <t>が　牙歯　1800　鍼灸備要　小坂元祐_ページ_2.jpg</t>
  </si>
  <si>
    <t>が　牙歯　1807　続名家灸選　平井庸信_ページ_1.jpg</t>
  </si>
  <si>
    <t>が　牙歯　1807　続名家灸選　平井庸信_ページ_2.jpg</t>
  </si>
  <si>
    <t>が　牙歯　1813　名家灸選　浅井惟亨.jpg</t>
  </si>
  <si>
    <t>が　牙歯　1813　名家灸選三編　平井庸信_ページ_1.jpg</t>
  </si>
  <si>
    <t>が　牙歯　1813　名家灸選三編　平井庸信_ページ_2.jpg</t>
  </si>
  <si>
    <t>が　牙歯病　成書年未詳　灸穴集　著者未詳_ページ_1.jpg</t>
  </si>
  <si>
    <t>が　牙歯病　成書年未詳　灸穴集　著者未詳_ページ_2.jpg</t>
  </si>
  <si>
    <t>が　牙歯病　成書年未詳　灸穴集　著者未詳_ページ_3.jpg</t>
  </si>
  <si>
    <t>が　牙歯病　成書年未詳　灸穴集　著者未詳_ページ_4.jpg</t>
  </si>
  <si>
    <t>が　牙歯病　成書年未詳　灸穴集　著者未詳_ページ_5.jpg</t>
  </si>
  <si>
    <t>が　牙歯病　成書年未詳　灸穴集　著者未詳_ページ_6.jpg</t>
  </si>
  <si>
    <t>が　牙疼　1220　鍼灸資生経　王執中_ページ_1.jpg</t>
  </si>
  <si>
    <t>が　牙疼　1220　鍼灸資生経　王執中_ページ_2.jpg</t>
  </si>
  <si>
    <t>が　牙疼　1315　鍼経摘英集　元・杜思敬「済生抜粋方」.jpg</t>
  </si>
  <si>
    <t>が　牙疼　1329　扁鵲神応鍼灸玉龍経　元・王国瑞.jpg</t>
  </si>
  <si>
    <t>が　牙疼　1537　鍼灸聚英　明・高武.jpg</t>
  </si>
  <si>
    <t>が　牙疼　1594　経脈方寸秘書　曲直瀬道三_ページ_1.jpg</t>
  </si>
  <si>
    <t>が　牙疼　1594　経脈方寸秘書　曲直瀬道三_ページ_2.jpg</t>
  </si>
  <si>
    <t>が　牙疼　附嘔吐　1329　扁鵲神応鍼灸玉龍経　元・王国瑞.jpg</t>
  </si>
  <si>
    <t>が　牙疼法　1224　医説　宋・張杲_ページ_1.jpg</t>
  </si>
  <si>
    <t>が　牙疼法　1224　医説　宋・張杲_ページ_2.jpg</t>
  </si>
  <si>
    <t>が　牙関噤急　1912年（大正01）　鍼灸手引草　久木田七郎.jpg</t>
  </si>
  <si>
    <t>が　牙齦（しぎん）腫痛　歯ぐきのはれて痛む病　歯齦炎　1887（明治20）　鍼灸備要　青山道醇.jpg</t>
  </si>
  <si>
    <t>が　鵝掌風　うらむしにて手のひらの皮のむけ、さけなどするに　1780　鍼灸極秘伝　木村太沖.jpg</t>
  </si>
  <si>
    <t>が　鵞（が）口　しろした　鵞口瘡　1887（明治20）　鍼灸備要　青山道醇.jpg</t>
  </si>
  <si>
    <t>がい　がい瘧　1718　おこり　鍼灸重宝記　本郷正豊.jpg</t>
  </si>
  <si>
    <t>がい　咳嗽　1220　鍼灸資生経　王執中_ページ_1.jpg</t>
  </si>
  <si>
    <t>がい　咳嗽　1220　鍼灸資生経　王執中_ページ_2.jpg</t>
  </si>
  <si>
    <t>がい　咳嗽　1537　鍼灸聚英　明・高武_ページ_1.jpg</t>
  </si>
  <si>
    <t>がい　咳嗽　1537　鍼灸聚英　明・高武_ページ_2.jpg</t>
  </si>
  <si>
    <t>がい　咳嗽　1563　鍼灸集要　曲直瀬道三.jpg</t>
  </si>
  <si>
    <t>がい　咳嗽　1574　兪穴参伍的法　秦宗巴.jpg</t>
  </si>
  <si>
    <t>がい　咳嗽　1607　扁鵲新流鍼書　越齋寿閑.jpg</t>
  </si>
  <si>
    <t>がい　咳嗽　1613　古今集鍼法　長生庵了味か.jpg</t>
  </si>
  <si>
    <t>がい　咳嗽　1669　鍼灸枢要　山本玄通_ページ_1.jpg</t>
  </si>
  <si>
    <t>がい　咳嗽　1669　鍼灸枢要　山本玄通_ページ_2.jpg</t>
  </si>
  <si>
    <t>がい　咳嗽　1669　鍼灸枢要　山本玄通_ページ_3.jpg</t>
  </si>
  <si>
    <t>がい　咳嗽　1669　鍼灸枢要　山本玄通_ページ_4.jpg</t>
  </si>
  <si>
    <t>がい　咳嗽　1669　鍼灸枢要　山本玄通_ページ_5.jpg</t>
  </si>
  <si>
    <t>がい　咳嗽　1669　鍼灸枢要　山本玄通_ページ_6.jpg</t>
  </si>
  <si>
    <t>がい　咳嗽　1669　鍼灸枢要　山本玄通_ページ_7.jpg</t>
  </si>
  <si>
    <t>がい　咳嗽　1669　鍼灸枢要　山本玄通_ページ_8.jpg</t>
  </si>
  <si>
    <t>がい　咳嗽　1669　鍼灸枢要　山本玄通_ページ_9.jpg</t>
  </si>
  <si>
    <t>がい　咳嗽　1679　鍼法奇貨　渡辺東伯_ページ_1.jpg</t>
  </si>
  <si>
    <t>がい　咳嗽　1679　鍼法奇貨　渡辺東伯_ページ_2.jpg</t>
  </si>
  <si>
    <t>がい　咳嗽　1679　鍼法奇貨　渡辺東伯_ページ_3.jpg</t>
  </si>
  <si>
    <t>がい　咳嗽　1680　鍼灸抜萃　著者未詳.jpg</t>
  </si>
  <si>
    <t>がい　咳嗽　1693　鍼灸要歌集　安井昌玄_ページ_1.jpg</t>
  </si>
  <si>
    <t>がい　咳嗽　1693　鍼灸要歌集　安井昌玄_ページ_2.jpg</t>
  </si>
  <si>
    <t>がい　咳嗽　1694　すわふきの事　療治之大概集　杉山和一.jpg</t>
  </si>
  <si>
    <t>がい　咳嗽　1694　小児　すわふきの事　療治之大概集　杉山和一.jpg</t>
  </si>
  <si>
    <t>がい　咳嗽　1694　選鍼三要集　杉山和一.jpg</t>
  </si>
  <si>
    <t>がい　咳嗽　1694　鍼灸そかい集　高津敬節.jpg</t>
  </si>
  <si>
    <t>がい　咳嗽　1696　広益鍼灸抜萃　著者未詳.jpg</t>
  </si>
  <si>
    <t>がい　咳嗽　1698　鍼灸抜粋大成　岡本一抱.jpg</t>
  </si>
  <si>
    <t>がい　咳嗽　1703　鍼灸阿是要穴　岡本一抱.jpg</t>
  </si>
  <si>
    <t>がい　咳嗽　1703　鍼灸阿是要穴　岡本一抱_ページ_1.jpg</t>
  </si>
  <si>
    <t>がい　咳嗽　1703　鍼灸阿是要穴　岡本一抱_ページ_2.jpg</t>
  </si>
  <si>
    <t>がい　咳嗽　1718　しはぶき　せき　たぐる　鍼灸重宝記　本郷正豊.jpg</t>
  </si>
  <si>
    <t>がい　咳嗽　1773　鍼灸手引草　大簡室主人_ページ_1.jpg</t>
  </si>
  <si>
    <t>がい　咳嗽　1773　鍼灸手引草　大簡室主人_ページ_2.jpg</t>
  </si>
  <si>
    <t>がい　咳嗽　1780　せき・しわぶき　鍼灸極秘伝　木村太沖.jpg</t>
  </si>
  <si>
    <t>がい　咳嗽　1785　鍼書　本城義軒.jpg</t>
  </si>
  <si>
    <t>がい　咳嗽　1792　鍼法要集　源長起_ページ_1.jpg</t>
  </si>
  <si>
    <t>がい　咳嗽　1792　鍼法要集　源長起_ページ_2.jpg</t>
  </si>
  <si>
    <t>がい　咳嗽　1794　杉山流鍼術　島浦和田一.jpg</t>
  </si>
  <si>
    <t>がい　咳嗽　1800　鍼灸備要　小坂元祐_ページ_1.jpg</t>
  </si>
  <si>
    <t>がい　咳嗽　1800　鍼灸備要　小坂元祐_ページ_2.jpg</t>
  </si>
  <si>
    <t>がい　咳嗽　1800　鍼灸備要　小坂元祐_ページ_3.jpg</t>
  </si>
  <si>
    <t>がい　咳嗽　1807　吼哮　続名家灸選　平井庸信_ページ_1.jpg</t>
  </si>
  <si>
    <t>がい　咳嗽　1807　吼哮　続名家灸選　平井庸信_ページ_2.jpg</t>
  </si>
  <si>
    <t>がい　咳嗽　1813　名家灸選三編　平井庸信_ページ_1.jpg</t>
  </si>
  <si>
    <t>がい　咳嗽　1813　名家灸選三編　平井庸信_ページ_2.jpg</t>
  </si>
  <si>
    <t>がい　咳嗽　1912年（大正01）　鍼灸手引草　久木田七郎.jpg</t>
  </si>
  <si>
    <t>がい　咳嗽　成書年未詳　灸穴集　著者未詳_ページ_1.jpg</t>
  </si>
  <si>
    <t>がい　咳嗽　成書年未詳　灸穴集　著者未詳_ページ_2.jpg</t>
  </si>
  <si>
    <t>がい　咳嗽　成書年未詳　灸穴集　著者未詳_ページ_3.jpg</t>
  </si>
  <si>
    <t>がい　咳嗽　成書年未詳　灸穴集　著者未詳_ページ_4.jpg</t>
  </si>
  <si>
    <t>がい　咳嗽　成書年未詳　灸穴集　著者未詳_ページ_5.jpg</t>
  </si>
  <si>
    <t>がい　咳嗽　成書年未詳　灸穴集　著者未詳_ページ_6.jpg</t>
  </si>
  <si>
    <t>がい　咳嗽　成書年未詳　経穴図解　著者未詳.jpg</t>
  </si>
  <si>
    <t>がい　咳嗽　玉機微義針灸証治　1537　鍼灸聚英　明・高武_ページ_1.jpg</t>
  </si>
  <si>
    <t>がい　咳嗽　玉機微義針灸証治　1537　鍼灸聚英　明・高武_ページ_2.jpg</t>
  </si>
  <si>
    <t>がい　咳嗽声破（こえやぶる）　しやがらごへ　咳嗽嗄嘶（せいさ）　1887（明治20）　鍼灸備要　青山道醇.jpg</t>
  </si>
  <si>
    <t>がい　咳嗽腰痛　附黄疸　1329　扁鵲神応鍼灸玉龍経　元・王国瑞.jpg</t>
  </si>
  <si>
    <t>がい　咳嗽鼻流清涕　1329　扁鵲神応鍼灸玉龍経　元・王国瑞.jpg</t>
  </si>
  <si>
    <t>がい　咳嗽（がいそう）　しわぶき、又、せき　咳嗽　1887（明治20）　鍼灸備要　青山道醇.jpg</t>
  </si>
  <si>
    <t>がい　咳瀉　1767　鍼灸則　菅沼周桂_ページ_1.jpg</t>
  </si>
  <si>
    <t>がい　咳瀉　1767　鍼灸則　菅沼周桂_ページ_2.jpg</t>
  </si>
  <si>
    <t>がい　咳瘧　1694　療治之大概集　杉山和一.jpg</t>
  </si>
  <si>
    <t>がい　咳血　1767　鍼灸則　菅沼周桂.jpg</t>
  </si>
  <si>
    <t>がい　咳血　1794　杉山流鍼術　島浦和田一.jpg</t>
  </si>
  <si>
    <t>がい　咳血　せきに血のまじる人　1780　鍼灸極秘伝　木村太沖.jpg</t>
  </si>
  <si>
    <t>がい　咳血（がいけつ）　咳につれて痰血の出る病　気管支出血　1887（明治20）　鍼灸備要　青山道醇.jpg</t>
  </si>
  <si>
    <t>がい　咳逆　1220　鍼灸資生経　王執中_ページ_1.jpg</t>
  </si>
  <si>
    <t>がい　咳逆　1220　鍼灸資生経　王執中_ページ_2.jpg</t>
  </si>
  <si>
    <t>がい　咳逆　1224　医説　宋・張杲_ページ_1.jpg</t>
  </si>
  <si>
    <t>がい　咳逆　1224　医説　宋・張杲_ページ_2.jpg</t>
  </si>
  <si>
    <t>がい　咳逆　1224　医説　宋・張杲_ページ_3.jpg</t>
  </si>
  <si>
    <t>がい　咳逆　1537　鍼灸聚英　明・高武.jpg</t>
  </si>
  <si>
    <t>がい　咳逆　1563　鍼灸集要　曲直瀬道三.jpg</t>
  </si>
  <si>
    <t>がい　咳逆　1594　経脈方寸秘書　曲直瀬道三.jpg</t>
  </si>
  <si>
    <t>がい　咳逆　1607　扁鵲新流鍼書　越齋寿閑_ページ_1.jpg</t>
  </si>
  <si>
    <t>がい　咳逆　1607　扁鵲新流鍼書　越齋寿閑_ページ_2.jpg</t>
  </si>
  <si>
    <t>がい　咳逆　1680　鍼灸抜萃　著者未詳.jpg</t>
  </si>
  <si>
    <t>がい　咳逆　1693　鍼灸要歌集　安井昌玄_ページ_1.jpg</t>
  </si>
  <si>
    <t>がい　咳逆　1693　鍼灸要歌集　安井昌玄_ページ_2.jpg</t>
  </si>
  <si>
    <t>がい　咳逆　1696　広益鍼灸抜萃　著者未詳.jpg</t>
  </si>
  <si>
    <t>がい　咳逆　1698　鍼灸抜粋大成　岡本一抱_ページ_1.jpg</t>
  </si>
  <si>
    <t>がい　咳逆　1698　鍼灸抜粋大成　岡本一抱_ページ_2.jpg</t>
  </si>
  <si>
    <t>がい　咳逆　1703　鍼灸阿是要穴　岡本一抱_ページ_1.jpg</t>
  </si>
  <si>
    <t>がい　咳逆　1703　鍼灸阿是要穴　岡本一抱_ページ_2.jpg</t>
  </si>
  <si>
    <t>がい　咳逆　1767　鍼灸則　菅沼周桂.jpg</t>
  </si>
  <si>
    <t>がい　咳逆　1773　鍼灸手引草　大簡室主人.jpg</t>
  </si>
  <si>
    <t>がい　咳逆　1792　鍼法要集　源長起_ページ_1.jpg</t>
  </si>
  <si>
    <t>がい　咳逆　1792　鍼法要集　源長起_ページ_2.jpg</t>
  </si>
  <si>
    <t>がい　咳逆　一曰［口＋卮］逆　しやくり　1718　鍼灸重宝記　本郷正豊.jpg</t>
  </si>
  <si>
    <t>がい　咳逆　玉機微義針灸証治　1537　鍼灸聚英　明・高武.jpg</t>
  </si>
  <si>
    <t>がい　咳逆上気　0300　●邪在肺五臓六腑受病発咳逆上気　第三　鍼灸甲乙経　皇甫謐_ページ_1.jpg</t>
  </si>
  <si>
    <t>がい　咳逆上気　0300　●邪在肺五臓六腑受病発咳逆上気　第三　鍼灸甲乙経　皇甫謐_ページ_2.jpg</t>
  </si>
  <si>
    <t>がい　咳逆上気　0300　●邪在肺五臓六腑受病発咳逆上気　第三　鍼灸甲乙経　皇甫謐_ページ_3.jpg</t>
  </si>
  <si>
    <t>がい　咳逆上気　0300　●邪在肺五臓六腑受病発咳逆上気　第三　鍼灸甲乙経　皇甫謐_ページ_4.jpg</t>
  </si>
  <si>
    <t>がい　咳逆上気　0650　千金方　孫思ばく_ページ_1.jpg</t>
  </si>
  <si>
    <t>がい　咳逆上気　0650　千金方　孫思ばく_ページ_2.jpg</t>
  </si>
  <si>
    <t>がい　咳逆上気　0650　千金方　孫思ばく_ページ_3.jpg</t>
  </si>
  <si>
    <t>がい　咳逆上気　1220　鍼灸資生経　王執中_ページ_1.jpg</t>
  </si>
  <si>
    <t>がい　咳逆上気　1220　鍼灸資生経　王執中_ページ_2.jpg</t>
  </si>
  <si>
    <t>がい　咳逆上気　1220　鍼灸資生経　王執中_ページ_3.jpg</t>
  </si>
  <si>
    <t>がい　諸咳喘嘔えつ気逆　1624　類経図翼　明・張介賓_ページ_1.jpg</t>
  </si>
  <si>
    <t>がい　諸咳喘嘔えつ気逆　1624　類経図翼　明・張介賓_ページ_2.jpg</t>
  </si>
  <si>
    <t>がい　諸咳喘嘔えつ気逆　1624　類経図翼　明・張介賓_ページ_3.jpg</t>
  </si>
  <si>
    <t>がい　諸咳喘嘔えつ気逆　1624　類経図翼　明・張介賓_ページ_4.jpg</t>
  </si>
  <si>
    <t>がい　諸咳喘嘔えつ気逆　1624　類経図翼　明・張介賓_ページ_5.jpg</t>
  </si>
  <si>
    <t>がい　諸咳喘嘔えつ気逆　1624　類経図翼　明・張介賓_ページ_6.jpg</t>
  </si>
  <si>
    <t>がい　諸咳喘嘔えつ気逆　1624　類経図翼　明・張介賓_ページ_7.jpg</t>
  </si>
  <si>
    <t>がい　諸咳喘嘔えつ気逆　1624　類経図翼　明・張介賓_ページ_8.jpg</t>
  </si>
  <si>
    <t>がい　諸咳喘嘔えつ気逆　1761　挨穴捷径　杉原敦_ページ_1.jpg</t>
  </si>
  <si>
    <t>がい　諸咳喘嘔えつ気逆　1761　挨穴捷径　杉原敦_ページ_2.jpg</t>
  </si>
  <si>
    <t>がい　諸咳喘嘔えつ気逆　1761　挨穴捷径　杉原敦_ページ_3.jpg</t>
  </si>
  <si>
    <t>がい　諸咳喘嘔えつ気逆　1761　挨穴捷径　杉原敦_ページ_4.jpg</t>
  </si>
  <si>
    <t>がい　諸咳喘嘔えつ気逆　1761　挨穴捷径　杉原敦_ページ_5.jpg</t>
  </si>
  <si>
    <t>がい　諸咳喘嘔えつ気逆　1761　挨穴捷径　杉原敦_ページ_6.jpg</t>
  </si>
  <si>
    <t>がく　額前（かくせん）痛　ひたいのいたむ病　前額神経痛　1887（明治20）　鍼灸備要　青山道醇.jpg</t>
  </si>
  <si>
    <t>がん　眼中血多く痛み、あるいは爛るる眩者　目の内に血の多き人またただれ目　1780　鍼灸極秘伝　木村太沖.jpg</t>
  </si>
  <si>
    <t>がん　眼疼不可忍　1315　鍼経摘英集　元・杜思敬「済生抜粋方」.jpg</t>
  </si>
  <si>
    <t>がん　眼病　1686　鍼灸要法指南　岩田利斎_ページ_1.jpg</t>
  </si>
  <si>
    <t>がん　眼病　1686　鍼灸要法指南　岩田利斎_ページ_2.jpg</t>
  </si>
  <si>
    <t>がん　眼病　1686　鍼灸要法指南　岩田利斎_ページ_3.jpg</t>
  </si>
  <si>
    <t>がん　眼目　1537　玉機微義針灸証治　鍼灸聚英　明・高武_ページ_1.jpg</t>
  </si>
  <si>
    <t>がん　眼目　1537　玉機微義針灸証治　鍼灸聚英　明・高武_ページ_2.jpg</t>
  </si>
  <si>
    <t>がん　眼目　1537　玉機微義針灸証治　鍼灸聚英　明・高武_ページ_3.jpg</t>
  </si>
  <si>
    <t>がん　眼目　1537　鍼灸聚英　明・高武.jpg</t>
  </si>
  <si>
    <t>がん　眼目　1563　鍼灸集要　曲直瀬道三.jpg</t>
  </si>
  <si>
    <t>がん　眼目　1669　鍼灸枢要　山本玄通_ページ_01.jpg</t>
  </si>
  <si>
    <t>がん　眼目　1669　鍼灸枢要　山本玄通_ページ_02.jpg</t>
  </si>
  <si>
    <t>がん　眼目　1669　鍼灸枢要　山本玄通_ページ_03.jpg</t>
  </si>
  <si>
    <t>がん　眼目　1669　鍼灸枢要　山本玄通_ページ_04.jpg</t>
  </si>
  <si>
    <t>がん　眼目　1669　鍼灸枢要　山本玄通_ページ_05.jpg</t>
  </si>
  <si>
    <t>がん　眼目　1669　鍼灸枢要　山本玄通_ページ_06.jpg</t>
  </si>
  <si>
    <t>がん　眼目　1669　鍼灸枢要　山本玄通_ページ_07.jpg</t>
  </si>
  <si>
    <t>がん　眼目　1669　鍼灸枢要　山本玄通_ページ_08.jpg</t>
  </si>
  <si>
    <t>がん　眼目　1669　鍼灸枢要　山本玄通_ページ_09.jpg</t>
  </si>
  <si>
    <t>がん　眼目　1669　鍼灸枢要　山本玄通_ページ_10.jpg</t>
  </si>
  <si>
    <t>がん　眼目　1669　鍼灸枢要　山本玄通_ページ_11.jpg</t>
  </si>
  <si>
    <t>がん　眼目　1680　鍼灸抜萃　著者未詳.jpg</t>
  </si>
  <si>
    <t>がん　眼目　1693　鍼灸要歌集　安井昌玄_ページ_1.jpg</t>
  </si>
  <si>
    <t>がん　眼目　1693　鍼灸要歌集　安井昌玄_ページ_2.jpg</t>
  </si>
  <si>
    <t>がん　眼目　1694　目の病の事　療治之大概集　杉山和一.jpg</t>
  </si>
  <si>
    <t>がん　眼目　1694　鍼灸そかい集　高津敬節.jpg</t>
  </si>
  <si>
    <t>がん　眼目　1696　広益鍼灸抜萃　著者未詳_ページ_1.jpg</t>
  </si>
  <si>
    <t>がん　眼目　1696　広益鍼灸抜萃　著者未詳_ページ_2.jpg</t>
  </si>
  <si>
    <t>がん　眼目　1698　鍼灸抜粋大成　岡本一抱_ページ_1.jpg</t>
  </si>
  <si>
    <t>がん　眼目　1698　鍼灸抜粋大成　岡本一抱_ページ_2.jpg</t>
  </si>
  <si>
    <t>がん　眼目　1718　鍼灸重宝記　本郷正豊_ページ_1.jpg</t>
  </si>
  <si>
    <t>がん　眼目　1718　鍼灸重宝記　本郷正豊_ページ_2.jpg</t>
  </si>
  <si>
    <t>がん　眼目　1767　鍼灸則　菅沼周桂_ページ_1.jpg</t>
  </si>
  <si>
    <t>がん　眼目　1767　鍼灸則　菅沼周桂_ページ_2.jpg</t>
  </si>
  <si>
    <t>がん　眼目　1767　鍼灸則　菅沼周桂_ページ_3.jpg</t>
  </si>
  <si>
    <t>がん　眼目　1773　鍼灸手引草　大簡室主人_ページ_1.jpg</t>
  </si>
  <si>
    <t>がん　眼目　1773　鍼灸手引草　大簡室主人_ページ_2.jpg</t>
  </si>
  <si>
    <t>がん　眼目　1780　めのやまい　鍼灸極秘伝　木村太沖.jpg</t>
  </si>
  <si>
    <t>がん　眼目　1792　鍼法要集　源長起_ページ_1.jpg</t>
  </si>
  <si>
    <t>がん　眼目　1792　鍼法要集　源長起_ページ_2.jpg</t>
  </si>
  <si>
    <t>がん　眼目　1792　鍼法要集　源長起_ページ_3.jpg</t>
  </si>
  <si>
    <t>がん　眼目　1792　鍼法要集　源長起_ページ_4.jpg</t>
  </si>
  <si>
    <t>がん　眼目　1792　鍼法要集　源長起_ページ_5.jpg</t>
  </si>
  <si>
    <t>がん　眼目　1800　鍼灸備要　小坂元祐_ページ_1.jpg</t>
  </si>
  <si>
    <t>がん　眼目　1800　鍼灸備要　小坂元祐_ページ_2.jpg</t>
  </si>
  <si>
    <t>がん　眼目　1800　鍼灸備要　小坂元祐_ページ_3.jpg</t>
  </si>
  <si>
    <t>がん　眼目　1800　鍼灸備要　小坂元祐_ページ_4.jpg</t>
  </si>
  <si>
    <t>がん　眼目　1800　鍼灸備要　小坂元祐_ページ_5.jpg</t>
  </si>
  <si>
    <t>がん　眼目　1807　続名家灸選　平井庸信_ページ_1.jpg</t>
  </si>
  <si>
    <t>がん　眼目　1807　続名家灸選　平井庸信_ページ_2.jpg</t>
  </si>
  <si>
    <t>がん　眼目　1813　名家灸選　浅井惟亨_ページ_1.jpg</t>
  </si>
  <si>
    <t>がん　眼目　1813　名家灸選　浅井惟亨_ページ_2.jpg</t>
  </si>
  <si>
    <t>がん　眼目　1813　名家灸選三編　平井庸信_ページ_1.jpg</t>
  </si>
  <si>
    <t>がん　眼目　1813　名家灸選三編　平井庸信_ページ_2.jpg</t>
  </si>
  <si>
    <t>がん　眼目　1813　名家灸選三編　平井庸信_ページ_3.jpg</t>
  </si>
  <si>
    <t>がん　眼目　成書年未詳　灸穴集　著者未詳_ページ_1.jpg</t>
  </si>
  <si>
    <t>がん　眼目　成書年未詳　灸穴集　著者未詳_ページ_2.jpg</t>
  </si>
  <si>
    <t>がん　眼目　成書年未詳　灸穴集　著者未詳_ページ_3.jpg</t>
  </si>
  <si>
    <t>がん　眼目　成書年未詳　灸穴集　著者未詳_ページ_4.jpg</t>
  </si>
  <si>
    <t>がん　眼目　成書年未詳　灸穴集　著者未詳_ページ_5.jpg</t>
  </si>
  <si>
    <t>がん　眼目　成書年未詳　灸穴集　著者未詳_ページ_6.jpg</t>
  </si>
  <si>
    <t>がん　眼目　成書年未詳　灸穴集　著者未詳_ページ_7.jpg</t>
  </si>
  <si>
    <t>がん　眼目　成書年未詳　経穴図解　著者未詳.jpg</t>
  </si>
  <si>
    <t>がん　眼目疼痛　1694　選鍼三要集　杉山和一.jpg</t>
  </si>
  <si>
    <t>がん　面瘡　かお（顔）の内のでもの　1780　鍼灸極秘伝　木村太沖.jpg</t>
  </si>
  <si>
    <t>がん　頭面　1792　鍼法要集　源長起_ページ_1.jpg</t>
  </si>
  <si>
    <t>がん　頭面　1792　鍼法要集　源長起_ページ_2.jpg</t>
  </si>
  <si>
    <t>がん　頭面七竅病　1624　類経図翼　明・張介賓_ページ_1.jpg</t>
  </si>
  <si>
    <t>がん　頭面七竅病　1624　類経図翼　明・張介賓_ページ_2.jpg</t>
  </si>
  <si>
    <t>がん　頭面七竅病　1624　類経図翼　明・張介賓_ページ_3.jpg</t>
  </si>
  <si>
    <t>がん　頭面七竅病　1624　類経図翼　明・張介賓_ページ_4.jpg</t>
  </si>
  <si>
    <t>がん　頭面七竅病　1624　類経図翼　明・張介賓_ページ_5.jpg</t>
  </si>
  <si>
    <t>がん　頭面七竅病　1624　類経図翼　明・張介賓_ページ_6.jpg</t>
  </si>
  <si>
    <t>がん　頭面七竅病　1624　類経図翼　明・張介賓_ページ_7.jpg</t>
  </si>
  <si>
    <t>がん　頭面七竅病　1761　挨穴捷径　杉原敦_ページ_1.jpg</t>
  </si>
  <si>
    <t>がん　頭面七竅病　1761　挨穴捷径　杉原敦_ページ_2.jpg</t>
  </si>
  <si>
    <t>がん　頭面七竅病　1761　挨穴捷径　杉原敦_ページ_3.jpg</t>
  </si>
  <si>
    <t>がん　頭面七竅病　1761　挨穴捷径　杉原敦_ページ_4.jpg</t>
  </si>
  <si>
    <t>がん　頭面七竅病　1761　挨穴捷径　杉原敦_ページ_5.jpg</t>
  </si>
  <si>
    <t>がん　頭面七竅病　1761　挨穴捷径　杉原敦_ページ_6.jpg</t>
  </si>
  <si>
    <t>がん　頷腫如升喉中閉塞水粒不下　1315　鍼経摘英集　元・杜思敬「済生抜粋方」.jpg</t>
  </si>
  <si>
    <t>き　き病（きびょう）　おとみつわり　1686　鍼灸要法指南　岩田利斎.jpg</t>
  </si>
  <si>
    <t>き　下気　成書年未詳　灸穴集　著者未詳_ページ_1.jpg</t>
  </si>
  <si>
    <t>き　下気　成書年未詳　灸穴集　著者未詳_ページ_2.jpg</t>
  </si>
  <si>
    <t>き　下気　成書年未詳　灸穴集　著者未詳_ページ_3.jpg</t>
  </si>
  <si>
    <t>き　亀背　1686　（きはい）　せむし　鍼灸要法指南　岩田利斎.jpg</t>
  </si>
  <si>
    <t>き　亀背　1693　鍼灸要歌集　安井昌玄_ページ_1.jpg</t>
  </si>
  <si>
    <t>き　亀胸　1693　鍼灸要歌集　安井昌玄.jpg</t>
  </si>
  <si>
    <t>き　亀胸　亀背　1669　鍼灸枢要　山本玄通_ページ_1.jpg</t>
  </si>
  <si>
    <t>き　亀胸　亀背　1669　鍼灸枢要　山本玄通_ページ_2.jpg</t>
  </si>
  <si>
    <t>き　亀胸　亀背　1669　鍼灸枢要　山本玄通_ページ_3.jpg</t>
  </si>
  <si>
    <t>き　亀胸　亀背　1669　鍼灸枢要　山本玄通_ページ_4.jpg</t>
  </si>
  <si>
    <t>き　亀胸　亀背　成書年未詳　灸穴集　著者未詳.jpg</t>
  </si>
  <si>
    <t>き　亀胸（ききょう）　はとむね　1686　鍼灸要法指南　岩田利斎.jpg</t>
  </si>
  <si>
    <t>き　喜唾　1912年（大正01）　鍼灸手引草　久木田七郎.jpg</t>
  </si>
  <si>
    <t>き　喜忘（きぼう）　とわすれ　1887（明治20）　鍼灸備要　青山道醇.jpg</t>
  </si>
  <si>
    <t>き　喜怒悲笑無常　1765　鍼法弁惑　藤井秀孟.jpg</t>
  </si>
  <si>
    <t>き　喜笑　喜怒　1912年（大正01）　鍼灸手引草　久木田七郎.jpg</t>
  </si>
  <si>
    <t>き　少気　短気　1912年（大正01）　鍼灸手引草　久木田七郎.jpg</t>
  </si>
  <si>
    <t>き　当流順気之法第一　1792　鍼法要集　源長起.jpg</t>
  </si>
  <si>
    <t>き　気　1563　鍼灸集要　曲直瀬道三.jpg</t>
  </si>
  <si>
    <t>き　気　1574　兪穴参伍的法　秦宗巴_ページ_1.jpg</t>
  </si>
  <si>
    <t>き　気　1574　兪穴参伍的法　秦宗巴_ページ_2.jpg</t>
  </si>
  <si>
    <t>き　気　1680　鍼灸抜萃　著者未詳.jpg</t>
  </si>
  <si>
    <t>き　気　1693　鍼灸要歌集　安井昌玄_ページ_1.jpg</t>
  </si>
  <si>
    <t>き　気　1693　鍼灸要歌集　安井昌玄_ページ_2.jpg</t>
  </si>
  <si>
    <t>き　気　1693　鍼灸要歌集　安井昌玄_ページ_3.jpg</t>
  </si>
  <si>
    <t>き　気　1696　広益鍼灸抜萃　著者未詳_ページ_1.jpg</t>
  </si>
  <si>
    <t>き　気　1696　広益鍼灸抜萃　著者未詳_ページ_2.jpg</t>
  </si>
  <si>
    <t>き　気　1696　広益鍼灸抜萃　著者未詳_ページ_3.jpg</t>
  </si>
  <si>
    <t>き　気　1773　鍼灸手引草　大簡室主人_ページ_1.jpg</t>
  </si>
  <si>
    <t>き　気　1773　鍼灸手引草　大簡室主人_ページ_2.jpg</t>
  </si>
  <si>
    <t>き　気　附心悶　手生瘡　1329　扁鵲神応鍼灸玉龍経　元・王国瑞_ページ_1.jpg</t>
  </si>
  <si>
    <t>き　気　附心悶　手生瘡　1329　扁鵲神応鍼灸玉龍経　元・王国瑞_ページ_2.jpg</t>
  </si>
  <si>
    <t>き　気さかんにのぼるを治之穴　1613　古今集鍼法　長生庵了味か.jpg</t>
  </si>
  <si>
    <t>き　気を煩う病者　1607　扁鵲新流鍼書　越齋寿閑.jpg</t>
  </si>
  <si>
    <t>き　気付　1686　鍼灸要法指南　岩田利斎.jpg</t>
  </si>
  <si>
    <t>き　気喘　1329　扁鵲神応鍼灸玉龍経　元・王国瑞.jpg</t>
  </si>
  <si>
    <t>き　気塊　1694　選鍼三要集　杉山和一.jpg</t>
  </si>
  <si>
    <t>き　気塞　1607　扁鵲新流鍼書　越齋寿閑_ページ_1.jpg</t>
  </si>
  <si>
    <t>き　気塞　1607　扁鵲新流鍼書　越齋寿閑_ページ_2.jpg</t>
  </si>
  <si>
    <t>き　気息短少　1765　鍼法弁惑　藤井秀孟_ページ_1.jpg</t>
  </si>
  <si>
    <t>き　気息短少　1765　鍼法弁惑　藤井秀孟_ページ_2.jpg</t>
  </si>
  <si>
    <t>き　気満　1329　扁鵲神応鍼灸玉龍経　元・王国瑞.jpg</t>
  </si>
  <si>
    <t>き　気短　1694　選鍼三要集　杉山和一.jpg</t>
  </si>
  <si>
    <t>き　気短　気促　少気　1669　鍼灸枢要　山本玄通_ページ_1.jpg</t>
  </si>
  <si>
    <t>き　気短　気促　少気　1669　鍼灸枢要　山本玄通_ページ_2.jpg</t>
  </si>
  <si>
    <t>き　気短　気促　少気　1669　鍼灸枢要　山本玄通_ページ_3.jpg</t>
  </si>
  <si>
    <t>き　気短　気促　少気　1669　鍼灸枢要　山本玄通_ページ_4.jpg</t>
  </si>
  <si>
    <t>き　気絶不蘇　1765　鍼法弁惑　藤井秀孟_ページ_1.jpg</t>
  </si>
  <si>
    <t>き　気絶不蘇　1765　鍼法弁惑　藤井秀孟_ページ_2.jpg</t>
  </si>
  <si>
    <t>き　気腫　1686　鍼灸要法指南　岩田利斎.jpg</t>
  </si>
  <si>
    <t>き　気邪妖崇　1785　鍼書　本城義軒_ページ_1.jpg</t>
  </si>
  <si>
    <t>き　気邪妖崇　1785　鍼書　本城義軒_ページ_2.jpg</t>
  </si>
  <si>
    <t>き　気附　成書年未詳　灸穴集　著者未詳.jpg</t>
  </si>
  <si>
    <t>き　気附鍼　気つけのはり　1780　鍼灸極秘伝　木村太沖.jpg</t>
  </si>
  <si>
    <t>き　気隙　1792　鍼法要集　源長起_ページ_1.jpg</t>
  </si>
  <si>
    <t>き　気隙　1792　鍼法要集　源長起_ページ_2.jpg</t>
  </si>
  <si>
    <t>き　諸の気付　1693　鍼灸要歌集　安井昌玄.jpg</t>
  </si>
  <si>
    <t>き　諸の気付　1718　鍼灸重宝記　本郷正豊.jpg</t>
  </si>
  <si>
    <t>き　諸の気付　1773　鍼灸手引草　大簡室主人_ページ_1.jpg</t>
  </si>
  <si>
    <t>き　諸の気付　1773　鍼灸手引草　大簡室主人_ページ_2.jpg</t>
  </si>
  <si>
    <t>き　諸気　1537　鍼灸聚英　明・高武_ページ_1.jpg</t>
  </si>
  <si>
    <t>き　諸気　1537　鍼灸聚英　明・高武_ページ_2.jpg</t>
  </si>
  <si>
    <t>き　諸気　1679　鍼法奇貨　渡辺東伯_ページ_1.jpg</t>
  </si>
  <si>
    <t>き　諸気　1679　鍼法奇貨　渡辺東伯_ページ_2.jpg</t>
  </si>
  <si>
    <t>き　諸気　1679　鍼法奇貨　渡辺東伯_ページ_3.jpg</t>
  </si>
  <si>
    <t>き　諸気　1679　鍼法奇貨　渡辺東伯_ページ_4.jpg</t>
  </si>
  <si>
    <t>き　諸気　1679　鍼法奇貨　渡辺東伯_ページ_5.jpg</t>
  </si>
  <si>
    <t>き　諸気　1679　鍼法奇貨　渡辺東伯_ページ_6.jpg</t>
  </si>
  <si>
    <t>き　諸気　1679　鍼法奇貨　渡辺東伯_ページ_7.jpg</t>
  </si>
  <si>
    <t>き　諸気　1679　鍼法奇貨　渡辺東伯_ページ_8.jpg</t>
  </si>
  <si>
    <t>き　諸気　1698　鍼灸抜粋大成　岡本一抱_ページ_1.jpg</t>
  </si>
  <si>
    <t>き　諸気　1698　鍼灸抜粋大成　岡本一抱_ページ_2.jpg</t>
  </si>
  <si>
    <t>き　諸気　1767　鍼灸則　菅沼周桂_ページ_1.jpg</t>
  </si>
  <si>
    <t>き　諸気　1767　鍼灸則　菅沼周桂_ページ_2.jpg</t>
  </si>
  <si>
    <t>き　諸気　1794　杉山流鍼術　島浦和田一_ページ_1.jpg</t>
  </si>
  <si>
    <t>き　諸気　1794　杉山流鍼術　島浦和田一_ページ_2.jpg</t>
  </si>
  <si>
    <t>き　諸気　成書年未詳　灸穴集　著者未詳.jpg</t>
  </si>
  <si>
    <t>き　諸気　成書年未詳　経穴図解　著者未詳_ページ_1.jpg</t>
  </si>
  <si>
    <t>き　諸気　成書年未詳　経穴図解　著者未詳_ページ_2.jpg</t>
  </si>
  <si>
    <t>き　諸気　気の脉は沈なり　1718　鍼灸重宝記　本郷正豊.jpg</t>
  </si>
  <si>
    <t>き　諸気　鬱証　1686　鍼灸要法指南　岩田利斎.jpg</t>
  </si>
  <si>
    <t>き　高きに登りて落ち気を絶する者　高き所より落て気を失ふ　1780　鍼灸極秘伝　木村太沖.jpg</t>
  </si>
  <si>
    <t>き　鬼哭穴　1758　灸ぜつ塩土伝　三宅意安.jpg</t>
  </si>
  <si>
    <t>き　鬼撃　1315　鍼経摘英集　元・杜思敬「済生抜粋方」.jpg</t>
  </si>
  <si>
    <t>き　鬼魁諸邪　1574　兪穴参伍的法　秦宗巴_ページ_1.jpg</t>
  </si>
  <si>
    <t>き　鬼魁諸邪　1574　兪穴参伍的法　秦宗巴_ページ_2.jpg</t>
  </si>
  <si>
    <t>き　鬼魘（きえん）　おそわるる　魘夢（えんむ）　1887（明治20）　鍼灸備要　青山道醇.jpg</t>
  </si>
  <si>
    <t>きつ　吃逆　1912年（大正01）　鍼灸手引草　久木田七郎_ページ_1.jpg</t>
  </si>
  <si>
    <t>きつ　吃逆　1912年（大正01）　鍼灸手引草　久木田七郎_ページ_2.jpg</t>
  </si>
  <si>
    <t>きつね　狐退針灸之穴　1613　古今集鍼法　長生庵了味か.jpg</t>
  </si>
  <si>
    <t>きゃく　脚病　0650　千金方　孫思ばく_ページ_1.jpg</t>
  </si>
  <si>
    <t>きゃく　脚病　0650　千金方　孫思ばく_ページ_2.jpg</t>
  </si>
  <si>
    <t>きゅう　久瘧不兪　1694　選鍼三要集　杉山和一.jpg</t>
  </si>
  <si>
    <t>きゅう　九曜　1758　灸ぜつ塩土伝　三宅意安_ページ_1.jpg</t>
  </si>
  <si>
    <t>きゅう　九曜　1758　灸ぜつ塩土伝　三宅意安_ページ_2.jpg</t>
  </si>
  <si>
    <t>きゅう　九曜　1758　灸ぜつ塩土伝　三宅意安_ページ_3.jpg</t>
  </si>
  <si>
    <t>きゅう　休息痢　げりびょう　1780　鍼灸極秘伝　木村太沖.jpg</t>
  </si>
  <si>
    <t>きゅう　喉痺　1226　急喉痺　備急灸法　宋・聞人耆年.jpg</t>
  </si>
  <si>
    <t>きゅう　小児久癖　1703　鍼灸阿是要穴　岡本一抱.jpg</t>
  </si>
  <si>
    <t>きゅう　急食不通并傷寒水結　1315　鍼経摘英集　元・杜思敬「済生抜粋方」.jpg</t>
  </si>
  <si>
    <t>きゅう　救急　1813　名家灸選　浅井惟亨.jpg</t>
  </si>
  <si>
    <t>きゅう　救極針穴　1613　古今集鍼法　長生庵了味か_ページ_1.jpg</t>
  </si>
  <si>
    <t>きゅう　救極針穴　1613　古今集鍼法　長生庵了味か_ページ_2.jpg</t>
  </si>
  <si>
    <t>きゅう　求嗣　1813　名家灸選　浅井惟亨.jpg</t>
  </si>
  <si>
    <t>きゅう　求嗣　1813　名家灸選三編　平井庸信_ページ_1.jpg</t>
  </si>
  <si>
    <t>きゅう　求嗣　1813　名家灸選三編　平井庸信_ページ_2.jpg</t>
  </si>
  <si>
    <t>きゅう　求嗣　1813　名家灸選三編　平井庸信_ページ_3.jpg</t>
  </si>
  <si>
    <t>きゅう　求子　1693　鍼灸要歌集　安井昌玄.jpg</t>
  </si>
  <si>
    <t>きょ　虚　1329　扁鵲神応鍼灸玉龍経　元・王国瑞.jpg</t>
  </si>
  <si>
    <t>きょ　虚労　1624　類経図翼　明・張介賓_ページ_1.jpg</t>
  </si>
  <si>
    <t>きょ　虚労　1624　類経図翼　明・張介賓_ページ_2.jpg</t>
  </si>
  <si>
    <t>きょ　虚労　1624　類経図翼　明・張介賓_ページ_3.jpg</t>
  </si>
  <si>
    <t>きょ　虚労　1624　類経図翼　明・張介賓_ページ_4.jpg</t>
  </si>
  <si>
    <t>きょ　虚労　1624　類経図翼　明・張介賓_ページ_5.jpg</t>
  </si>
  <si>
    <t>きょ　虚労　1624　類経図翼　明・張介賓_ページ_6.jpg</t>
  </si>
  <si>
    <t>きょ　虚労　1694　選鍼三要集　杉山和一.jpg</t>
  </si>
  <si>
    <t>きょ　虚労　1761　挨穴捷径　杉原敦_ページ_1.jpg</t>
  </si>
  <si>
    <t>きょ　虚労　1761　挨穴捷径　杉原敦_ページ_2.jpg</t>
  </si>
  <si>
    <t>きょ　虚労　1761　挨穴捷径　杉原敦_ページ_3.jpg</t>
  </si>
  <si>
    <t>きょ　虚労　1773　鍼灸手引草　大簡室主人_ページ_1.jpg</t>
  </si>
  <si>
    <t>きょ　虚労　1773　鍼灸手引草　大簡室主人_ページ_2.jpg</t>
  </si>
  <si>
    <t>きょ　虚労　伝屍（てんし）　1686　鍼灸要法指南　岩田利斎_ページ_1.jpg</t>
  </si>
  <si>
    <t>きょ　虚労　伝屍（てんし）　1686　鍼灸要法指南　岩田利斎_ページ_2.jpg</t>
  </si>
  <si>
    <t>きょ　虚労　労擦　1807　続名家灸選　平井庸信_ページ_1.jpg</t>
  </si>
  <si>
    <t>きょ　虚労　労擦　1807　続名家灸選　平井庸信_ページ_2.jpg</t>
  </si>
  <si>
    <t>きょ　虚労　労擦　1807　続名家灸選　平井庸信_ページ_3.jpg</t>
  </si>
  <si>
    <t>きょ　虚労　労擦　1807　続名家灸選　平井庸信_ページ_4.jpg</t>
  </si>
  <si>
    <t>きょ　虚労　骨蒸　1813　名家灸選三編　平井庸信_ページ_1.jpg</t>
  </si>
  <si>
    <t>きょ　虚労　骨蒸　1813　名家灸選三編　平井庸信_ページ_2.jpg</t>
  </si>
  <si>
    <t>きょ　虚労　骨蒸　1813　名家灸選三編　平井庸信_ページ_3.jpg</t>
  </si>
  <si>
    <t>きょ　虚労　骨蒸　1813　名家灸選三編　平井庸信_ページ_4.jpg</t>
  </si>
  <si>
    <t>きょ　虚労　骨蒸　1813　名家灸選三編　平井庸信_ページ_5.jpg</t>
  </si>
  <si>
    <t>きょ　虚労　骨蒸　1813　名家灸選三編　平井庸信_ページ_6.jpg</t>
  </si>
  <si>
    <t>きょ　虚労浮腫　1694　選鍼三要集　杉山和一.jpg</t>
  </si>
  <si>
    <t>きょ　虚労（きよろう）　らうしやう、又、よわみ　虚衰病　1887（明治20）　鍼灸備要　青山道醇.jpg</t>
  </si>
  <si>
    <t>きょ　虚弱夜起　1329　扁鵲神応鍼灸玉龍経　元・王国瑞_ページ_1.jpg</t>
  </si>
  <si>
    <t>きょ　虚弱夜起　1329　扁鵲神応鍼灸玉龍経　元・王国瑞_ページ_2.jpg</t>
  </si>
  <si>
    <t>きょ　虚怯　虚損　労さい　伝屍　1669　鍼灸枢要　山本玄通_ページ_01.jpg</t>
  </si>
  <si>
    <t>きょ　虚怯　虚損　労さい　伝屍　1669　鍼灸枢要　山本玄通_ページ_02.jpg</t>
  </si>
  <si>
    <t>きょ　虚怯　虚損　労さい　伝屍　1669　鍼灸枢要　山本玄通_ページ_03.jpg</t>
  </si>
  <si>
    <t>きょ　虚怯　虚損　労さい　伝屍　1669　鍼灸枢要　山本玄通_ページ_04.jpg</t>
  </si>
  <si>
    <t>きょ　虚怯　虚損　労さい　伝屍　1669　鍼灸枢要　山本玄通_ページ_05.jpg</t>
  </si>
  <si>
    <t>きょ　虚怯　虚損　労さい　伝屍　1669　鍼灸枢要　山本玄通_ページ_06.jpg</t>
  </si>
  <si>
    <t>きょ　虚怯　虚損　労さい　伝屍　1669　鍼灸枢要　山本玄通_ページ_07.jpg</t>
  </si>
  <si>
    <t>きょ　虚怯　虚損　労さい　伝屍　1669　鍼灸枢要　山本玄通_ページ_08.jpg</t>
  </si>
  <si>
    <t>きょ　虚怯　虚損　労さい　伝屍　1669　鍼灸枢要　山本玄通_ページ_09.jpg</t>
  </si>
  <si>
    <t>きょ　虚怯　虚損　労さい　伝屍　1669　鍼灸枢要　山本玄通_ページ_10.jpg</t>
  </si>
  <si>
    <t>きょ　虚怯　虚損　労さい　伝屍　1669　鍼灸枢要　山本玄通_ページ_11.jpg</t>
  </si>
  <si>
    <t>きょ　虚怯　虚損　労さい　伝屍　1800　鍼灸備要　小坂元祐_ページ_1.jpg</t>
  </si>
  <si>
    <t>きょ　虚怯　虚損　労さい　伝屍　1800　鍼灸備要　小坂元祐_ページ_2.jpg</t>
  </si>
  <si>
    <t>きょ　虚怯　虚損　労さい　伝屍　1800　鍼灸備要　小坂元祐_ページ_3.jpg</t>
  </si>
  <si>
    <t>きょ　虚損　1220　鍼灸資生経　王執中_ページ_1.jpg</t>
  </si>
  <si>
    <t>きょ　虚損　1220　鍼灸資生経　王執中_ページ_2.jpg</t>
  </si>
  <si>
    <t>きょ　虚損　1220　鍼灸資生経　王執中_ページ_3.jpg</t>
  </si>
  <si>
    <t>きょ　虚損　1220　鍼灸資生経　王執中_ページ_4.jpg</t>
  </si>
  <si>
    <t>きょ　虚損　1220　鍼灸資生経　王執中_ページ_5.jpg</t>
  </si>
  <si>
    <t>きょ　虚損　1220　鍼灸資生経　王執中_ページ_6.jpg</t>
  </si>
  <si>
    <t>きょ　虚損　1680　鍼灸抜萃　著者未詳.jpg</t>
  </si>
  <si>
    <t>きょ　虚損　1693　鍼灸要歌集　安井昌玄_ページ_1.jpg</t>
  </si>
  <si>
    <t>きょ　虚損　1693　鍼灸要歌集　安井昌玄_ページ_2.jpg</t>
  </si>
  <si>
    <t>きょ　虚損　1696　広益鍼灸抜萃　著者未詳_ページ_1.jpg</t>
  </si>
  <si>
    <t>きょ　虚損　1696　広益鍼灸抜萃　著者未詳_ページ_2.jpg</t>
  </si>
  <si>
    <t>きょ　虚損　1718　よはみ　鍼灸重宝記　本郷正豊.jpg</t>
  </si>
  <si>
    <t>きょ　虚損　成書年未詳　経穴図解　著者未詳.jpg</t>
  </si>
  <si>
    <t>きょ　虚煩　1329　扁鵲神応鍼灸玉龍経　元・王国瑞.jpg</t>
  </si>
  <si>
    <t>きょ　虚煩　成書年未詳　灸穴集　著者未詳.jpg</t>
  </si>
  <si>
    <t>きょう　狂　1765　鍼法弁惑　藤井秀孟_ページ_1.jpg</t>
  </si>
  <si>
    <t>きょう　狂　1765　鍼法弁惑　藤井秀孟_ページ_2.jpg</t>
  </si>
  <si>
    <t>きょう　狂　1765　鍼法弁惑　藤井秀孟_ページ_3.jpg</t>
  </si>
  <si>
    <t>きょう　狂乱　1773　鍼灸手引草　大簡室主人.jpg</t>
  </si>
  <si>
    <t>きょう　狂乱　　1792　鍼法要集　源長起.jpg</t>
  </si>
  <si>
    <t>きょう　狂乱　きちがひ　1718　鍼灸重宝記　本郷正豊.jpg</t>
  </si>
  <si>
    <t>きょう　狂乱　成書年未詳　経穴図解　著者未詳.jpg</t>
  </si>
  <si>
    <t>きょう　狂気　1607　扁鵲新流鍼書　越齋寿閑.jpg</t>
  </si>
  <si>
    <t>きょう　狂犬所咬　1226　備急灸法　宋・聞人耆年_ページ_1.jpg</t>
  </si>
  <si>
    <t>きょう　狂犬所咬　1226　備急灸法　宋・聞人耆年_ページ_2.jpg</t>
  </si>
  <si>
    <t>きょう　狂疾　1785　鍼書　本城義軒.jpg</t>
  </si>
  <si>
    <t>きょう　狂症　成書年未詳　灸穴集　著者未詳_ページ_1.jpg</t>
  </si>
  <si>
    <t>きょう　狂症　成書年未詳　灸穴集　著者未詳_ページ_2.jpg</t>
  </si>
  <si>
    <t>きょう　狂症　成書年未詳　灸穴集　著者未詳_ページ_3.jpg</t>
  </si>
  <si>
    <t>きょう　狂症　成書年未詳　灸穴集　著者未詳_ページ_4.jpg</t>
  </si>
  <si>
    <t>きょう　狂症　成書年未詳　灸穴集　著者未詳_ページ_5.jpg</t>
  </si>
  <si>
    <t>きょう　狂症　成書年未詳　灸穴集　著者未詳_ページ_6.jpg</t>
  </si>
  <si>
    <t>きょう　狂癇　1624　類経図翼　明・張介賓_ページ_1.jpg</t>
  </si>
  <si>
    <t>きょう　狂癇　1624　類経図翼　明・張介賓_ページ_2.jpg</t>
  </si>
  <si>
    <t>きょう　狂癇　1624　類経図翼　明・張介賓_ページ_3.jpg</t>
  </si>
  <si>
    <t>きょう　狂癇　1761　挨穴捷径　杉原敦_ページ_1.jpg</t>
  </si>
  <si>
    <t>きょう　狂癇　1761　挨穴捷径　杉原敦_ページ_2.jpg</t>
  </si>
  <si>
    <t>きょう　狂癇　1761　挨穴捷径　杉原敦_ページ_3.jpg</t>
  </si>
  <si>
    <t>きょう　狂癲　1792　鍼法要集　源長起_ページ_1.jpg</t>
  </si>
  <si>
    <t>きょう　狂癲　1792　鍼法要集　源長起_ページ_2.jpg</t>
  </si>
  <si>
    <t>きょう　狂（きよう）　らんしんもの、又、ものくるい　癲狂病、又、狂疾　1887（明治20）　鍼灸備要　青山道醇.jpg</t>
  </si>
  <si>
    <t>きょう　胸　胸痛　胸満　胸痺　1669　鍼灸枢要　山本玄通_ページ_1.jpg</t>
  </si>
  <si>
    <t>きょう　胸　胸痛　胸満　胸痺　1669　鍼灸枢要　山本玄通_ページ_2.jpg</t>
  </si>
  <si>
    <t>きょう　胸　胸痛　胸満　胸痺　1669　鍼灸枢要　山本玄通_ページ_3.jpg</t>
  </si>
  <si>
    <t>きょう　胸　胸痛　胸満　胸痺　1669　鍼灸枢要　山本玄通_ページ_4.jpg</t>
  </si>
  <si>
    <t>きょう　胸　胸痛　胸満　胸痺　1669　鍼灸枢要　山本玄通_ページ_5.jpg</t>
  </si>
  <si>
    <t>きょう　胸　胸痛　胸満　胸痺　1669　鍼灸枢要　山本玄通_ページ_6.jpg</t>
  </si>
  <si>
    <t>きょう　胸　胸痛　胸満　胸痺　1669　鍼灸枢要　山本玄通_ページ_7.jpg</t>
  </si>
  <si>
    <t>きょう　胸　胸痛　胸満　胸痺　1669　鍼灸枢要　山本玄通_ページ_8.jpg</t>
  </si>
  <si>
    <t>きょう　胸中痰飲，蠱毒，霍乱，驚悸，腹脹暴痛，恍惚不止，吐逆不食　1315　鍼経摘英集　元・杜思敬「済生抜粋方」.jpg</t>
  </si>
  <si>
    <t>きょう　胸満　1220　鍼灸資生経　王執中_ページ_1.jpg</t>
  </si>
  <si>
    <t>きょう　胸満　1220　鍼灸資生経　王執中_ページ_2.jpg</t>
  </si>
  <si>
    <t>きょう　胸満　1220　鍼灸資生経　王執中_ページ_3.jpg</t>
  </si>
  <si>
    <t>きょう　胸満　1794　杉山流鍼術　島浦和田一.jpg</t>
  </si>
  <si>
    <t>きょう　胸痛　1794　杉山流鍼術　島浦和田一.jpg</t>
  </si>
  <si>
    <t>きょう　胸痛　むねのいたみ　1780　鍼灸極秘伝　木村太沖.jpg</t>
  </si>
  <si>
    <t>きょう　胸痛　むねのいたみ　胸膜炎　1887（明治20）　鍼灸備要　青山道醇.jpg</t>
  </si>
  <si>
    <t>きょう　胸痛　心痛　脇痺　成書年未詳　経穴図解　著者未詳_ページ_1.jpg</t>
  </si>
  <si>
    <t>きょう　胸痛　心痛　脇痺　成書年未詳　経穴図解　著者未詳_ページ_2.jpg</t>
  </si>
  <si>
    <t>きょう　胸痛　胸満　胸痺　1800　鍼灸備要　小坂元祐_ページ_1.jpg</t>
  </si>
  <si>
    <t>きょう　胸痛　胸満　胸痺　1800　鍼灸備要　小坂元祐_ページ_2.jpg</t>
  </si>
  <si>
    <t>きょう　胸痛　胸満　胸痺　1800　鍼灸備要　小坂元祐_ページ_3.jpg</t>
  </si>
  <si>
    <t>きょう　胸痛　胸満　胸痺　1800　鍼灸備要　小坂元祐_ページ_4.jpg</t>
  </si>
  <si>
    <t>きょう　胸痛み口噤する者　むねいたみて、とりつめたる人　1780　鍼灸極秘伝　木村太沖.jpg</t>
  </si>
  <si>
    <t>きょう　胸肋痛　あばらぼねのいたむ病　肋間神経痛　1887（明治20）　鍼灸備要　青山道醇.jpg</t>
  </si>
  <si>
    <t>きょう　胸背脇部　1425　神応経　明・陳会撰・劉瑾重校_ページ_1.jpg</t>
  </si>
  <si>
    <t>きょう　胸背脇部　1425　神応経　明・陳会撰・劉瑾重校_ページ_2.jpg</t>
  </si>
  <si>
    <t>きょう　胸背脇部　1425　神応経　明・陳会撰・劉瑾重校_ページ_3.jpg</t>
  </si>
  <si>
    <t>きょう　胸背腰膝病　1624　類経図翼　明・張介賓_ページ_1.jpg</t>
  </si>
  <si>
    <t>きょう　胸背腰膝病　1624　類経図翼　明・張介賓_ページ_2.jpg</t>
  </si>
  <si>
    <t>きょう　胸背腰膝病　1624　類経図翼　明・張介賓_ページ_3.jpg</t>
  </si>
  <si>
    <t>きょう　胸背腰膝病　1624　類経図翼　明・張介賓_ページ_4.jpg</t>
  </si>
  <si>
    <t>きょう　胸背腰膝病　1761　挨穴捷径　杉原敦_ページ_1.jpg</t>
  </si>
  <si>
    <t>きょう　胸背腰膝病　1761　挨穴捷径　杉原敦_ページ_2.jpg</t>
  </si>
  <si>
    <t>きょう　胸脇　0650　千金方　孫思ばく_ページ_1.jpg</t>
  </si>
  <si>
    <t>きょう　胸脇　0650　千金方　孫思ばく_ページ_2.jpg</t>
  </si>
  <si>
    <t>きょう　胸脇　0650　千金方　孫思ばく_ページ_3.jpg</t>
  </si>
  <si>
    <t>きょう　胸脇満　1537　鍼灸聚英　明・高武.jpg</t>
  </si>
  <si>
    <t>きょう　胸脇病　1574　兪穴参伍的法　秦宗巴.jpg</t>
  </si>
  <si>
    <t>きょう　胸脇痛　1220　鍼灸資生経　王執中_ページ_1.jpg</t>
  </si>
  <si>
    <t>きょう　胸脇痛　1220　鍼灸資生経　王執中_ページ_2.jpg</t>
  </si>
  <si>
    <t>きょう　胸脇痛　1912年（大正01）　鍼灸手引草　久木田七郎.jpg</t>
  </si>
  <si>
    <t>きょう　胸脇痛不可忍　1315　鍼経摘英集　元・杜思敬「済生抜粋方」_ページ_1.jpg</t>
  </si>
  <si>
    <t>きょう　胸脇痛不可忍　1315　鍼経摘英集　元・杜思敬「済生抜粋方」_ページ_2.jpg</t>
  </si>
  <si>
    <t>きょう　胸腹之病　1792　鍼法要集　源長起_ページ_1.jpg</t>
  </si>
  <si>
    <t>きょう　胸腹之病　1792　鍼法要集　源長起_ページ_2.jpg</t>
  </si>
  <si>
    <t>きょう　胸虫　1758　灸ぜつ塩土伝　三宅意安_ページ_1.jpg</t>
  </si>
  <si>
    <t>きょう　胸虫　1758　灸ぜつ塩土伝　三宅意安_ページ_2.jpg</t>
  </si>
  <si>
    <t>きょう　脇痛　1537　鍼灸聚英　明・高武.jpg</t>
  </si>
  <si>
    <t>きょう　脇痛　1563　鍼灸集要　曲直瀬道三.jpg</t>
  </si>
  <si>
    <t>きょう　脇痛　1680　鍼灸抜萃　著者未詳.jpg</t>
  </si>
  <si>
    <t>きょう　脇痛　1686　鍼灸要法指南　岩田利斎_ページ_1.jpg</t>
  </si>
  <si>
    <t>きょう　脇痛　1686　鍼灸要法指南　岩田利斎_ページ_2.jpg</t>
  </si>
  <si>
    <t>きょう　脇痛　1693　鍼灸要歌集　安井昌玄.jpg</t>
  </si>
  <si>
    <t>きょう　脇痛　1694　鍼灸そかい集　高津敬節_ページ_1.jpg</t>
  </si>
  <si>
    <t>きょう　脇痛　1694　鍼灸そかい集　高津敬節_ページ_2.jpg</t>
  </si>
  <si>
    <t>きょう　脇痛　1696　広益鍼灸抜萃　著者未詳_ページ_1.jpg</t>
  </si>
  <si>
    <t>きょう　脇痛　1696　広益鍼灸抜萃　著者未詳_ページ_2.jpg</t>
  </si>
  <si>
    <t>きょう　脇痛　1698　鍼灸抜粋大成　岡本一抱.jpg</t>
  </si>
  <si>
    <t>きょう　脇痛　1767　鍼灸則　菅沼周桂_ページ_1.jpg</t>
  </si>
  <si>
    <t>きょう　脇痛　1767　鍼灸則　菅沼周桂_ページ_2.jpg</t>
  </si>
  <si>
    <t>きょう　脇痛　1773　鍼灸手引草　大簡室主人_ページ_1.jpg</t>
  </si>
  <si>
    <t>きょう　脇痛　1773　鍼灸手引草　大簡室主人_ページ_2.jpg</t>
  </si>
  <si>
    <t>きょう　脇痛　1792　鍼法要集　源長起.jpg</t>
  </si>
  <si>
    <t>きょう　脇痛　わきいたみ　1718　鍼灸重宝記　本郷正豊.jpg</t>
  </si>
  <si>
    <t>きょう　脇痛　成書年未詳　灸穴集　著者未詳_ページ_1.jpg</t>
  </si>
  <si>
    <t>きょう　脇痛　成書年未詳　灸穴集　著者未詳_ページ_2.jpg</t>
  </si>
  <si>
    <t>きょう　脇腋　1669　鍼灸枢要　山本玄通_ページ_1.jpg</t>
  </si>
  <si>
    <t>きょう　脇腋　1669　鍼灸枢要　山本玄通_ページ_2.jpg</t>
  </si>
  <si>
    <t>きょう　脇腋　1669　鍼灸枢要　山本玄通_ページ_3.jpg</t>
  </si>
  <si>
    <t>きょう　脇腋　1669　鍼灸枢要　山本玄通_ページ_4.jpg</t>
  </si>
  <si>
    <t>きょう　脇腋　1669　鍼灸枢要　山本玄通_ページ_5.jpg</t>
  </si>
  <si>
    <t>きょう　脇腋　1669　鍼灸枢要　山本玄通_ページ_6.jpg</t>
  </si>
  <si>
    <t>きょう　脇腋　1800　鍼灸備要　小坂元祐_ページ_1.jpg</t>
  </si>
  <si>
    <t>きょう　脇腋　1800　鍼灸備要　小坂元祐_ページ_2.jpg</t>
  </si>
  <si>
    <t>きょう　驚　1694　急驚　附　慢驚、癇症　鍼灸そかい集　高津敬節.jpg</t>
  </si>
  <si>
    <t>きょう　驚　1694　慢驚　選鍼三要集　杉山和一.jpg</t>
  </si>
  <si>
    <t>きょう　驚　1767　急驚（小児）　鍼灸則　菅沼周桂_ページ_1.jpg</t>
  </si>
  <si>
    <t>きょう　驚　1767　急驚（小児）　鍼灸則　菅沼周桂_ページ_2.jpg</t>
  </si>
  <si>
    <t>きょう　驚恐　0650　千金方　孫思ばく_ページ_1.jpg</t>
  </si>
  <si>
    <t>きょう　驚恐　0650　千金方　孫思ばく_ページ_2.jpg</t>
  </si>
  <si>
    <t>きょう　驚悸　1669　鍼灸枢要　山本玄通.jpg</t>
  </si>
  <si>
    <t>きょう　驚悸　1767　鍼灸則　菅沼周桂.jpg</t>
  </si>
  <si>
    <t>きょう　驚悸　むなさわぎ　1794　杉山流鍼術　島浦和田一_ページ_1.jpg</t>
  </si>
  <si>
    <t>きょう　驚悸　むなさわぎ　1794　杉山流鍼術　島浦和田一_ページ_2.jpg</t>
  </si>
  <si>
    <t>きょう　驚癇　1220　鍼灸資生経　王執中_ページ_1.jpg</t>
  </si>
  <si>
    <t>きょう　驚癇　1220　鍼灸資生経　王執中_ページ_2.jpg</t>
  </si>
  <si>
    <t>きょう　驚癇　1329　扁鵲神応鍼灸玉龍経　元・王国瑞_ページ_1.jpg</t>
  </si>
  <si>
    <t>きょう　驚癇　1329　扁鵲神応鍼灸玉龍経　元・王国瑞_ページ_2.jpg</t>
  </si>
  <si>
    <t>きょう　驚癇　1718　てんかん・くつち　鍼灸重宝記　本郷正豊_ページ_1.jpg</t>
  </si>
  <si>
    <t>きょう　驚癇　1718　てんかん・くつち　鍼灸重宝記　本郷正豊_ページ_2.jpg</t>
  </si>
  <si>
    <t>きょう　驚癇　1773　鍼灸手引草　大簡室主人_ページ_1.jpg</t>
  </si>
  <si>
    <t>きょう　驚癇　1773　鍼灸手引草　大簡室主人_ページ_2.jpg</t>
  </si>
  <si>
    <t>きょう　驚癇　1813　名家灸選三編　平井庸信_ページ_1.jpg</t>
  </si>
  <si>
    <t>きょう　驚癇　1813　名家灸選三編　平井庸信_ページ_2.jpg</t>
  </si>
  <si>
    <t>きょう　驚癇　1912年（大正01）　鍼灸手引草　久木田七郎.jpg</t>
  </si>
  <si>
    <t>きょう　驚風　1563　小児急驚風　鍼灸集要　曲直瀬道三.jpg</t>
  </si>
  <si>
    <t>きょう　驚風　1669　（小児）　鍼灸枢要　山本玄通_ページ_1.jpg</t>
  </si>
  <si>
    <t>きょう　驚風　1669　（小児）　鍼灸枢要　山本玄通_ページ_2.jpg</t>
  </si>
  <si>
    <t>きょう　驚風　1669　（小児）　鍼灸枢要　山本玄通_ページ_3.jpg</t>
  </si>
  <si>
    <t>きょう　驚風　1669　（小児）　鍼灸枢要　山本玄通_ページ_4.jpg</t>
  </si>
  <si>
    <t>きょう　驚風　1669　（小児）　鍼灸枢要　山本玄通_ページ_5.jpg</t>
  </si>
  <si>
    <t>きょう　驚風　1685　鍼道秘訣集　御園夢分斎_ページ_1.jpg</t>
  </si>
  <si>
    <t>きょう　驚風　1685　鍼道秘訣集　御園夢分斎_ページ_2.jpg</t>
  </si>
  <si>
    <t>きょう　驚風　1686　急慢驚風　鍼灸要法指南　岩田利斎_ページ_1.jpg</t>
  </si>
  <si>
    <t>きょう　驚風　1686　急慢驚風　鍼灸要法指南　岩田利斎_ページ_2.jpg</t>
  </si>
  <si>
    <t>きょう　驚風　1693　急慢驚風　鍼灸要歌集　安井昌玄_ページ_1.jpg</t>
  </si>
  <si>
    <t>きょう　驚風　1693　急慢驚風　鍼灸要歌集　安井昌玄_ページ_2.jpg</t>
  </si>
  <si>
    <t>きょう　驚風　1694　小児病　急慢驚風　選鍼三要集　杉山和一.jpg</t>
  </si>
  <si>
    <t>きょう　驚風　1694　急驚風　療治之大概集　杉山和一.jpg</t>
  </si>
  <si>
    <t>きょう　驚風　1694　慢驚風　療治之大概集　杉山和一.jpg</t>
  </si>
  <si>
    <t>きょう　驚風　1698　急驚風　鍼灸抜粋大成　岡本一抱_ページ_1.jpg</t>
  </si>
  <si>
    <t>きょう　驚風　1698　急驚風　鍼灸抜粋大成　岡本一抱_ページ_2.jpg</t>
  </si>
  <si>
    <t>きょう　驚風　1718　鍼灸重宝記　本郷正豊.jpg</t>
  </si>
  <si>
    <t>きょう　驚風　1758　小児急慢驚風　灸ぜつ塩土伝　三宅意安_ページ_1.jpg</t>
  </si>
  <si>
    <t>きょう　驚風　1758　小児急慢驚風　灸ぜつ塩土伝　三宅意安_ページ_2.jpg</t>
  </si>
  <si>
    <t>きょう　驚風　1765　小児驚風　鍼法弁惑　藤井秀孟_ページ_1.jpg</t>
  </si>
  <si>
    <t>きょう　驚風　1765　小児驚風　鍼法弁惑　藤井秀孟_ページ_2.jpg</t>
  </si>
  <si>
    <t>きょう　驚風　1767　慢驚（小児）　鍼灸則　菅沼周桂.jpg</t>
  </si>
  <si>
    <t>きょう　驚風　1773　鍼灸手引草　大簡室主人.jpg</t>
  </si>
  <si>
    <t>きょう　驚風　1780　小児驚風　きょうふう　鍼灸極秘伝　木村太沖.jpg</t>
  </si>
  <si>
    <t>きょう　驚風　1780　急驚風　きゅうきょう風、目を引きつけたるに　鍼灸極秘伝　木村太沖.jpg</t>
  </si>
  <si>
    <t>きょう　驚風　1780　慢驚風、ちく搦（ちくでき）、反張、熱少なき者　まんきょうふう、そりかえりたる小児　鍼灸極秘伝　木村太沖.jpg</t>
  </si>
  <si>
    <t>きょう　驚風　1792　急驚風　慢驚風（小児之部）　鍼法要集　源長起.jpg</t>
  </si>
  <si>
    <t>きょう　驚風　1794　急驚風　杉山流鍼術　島浦和田一.jpg</t>
  </si>
  <si>
    <t>きょう　驚風　1800　鍼灸備要　小坂元祐_ページ_1.jpg</t>
  </si>
  <si>
    <t>きょう　驚風　1800　鍼灸備要　小坂元祐_ページ_2.jpg</t>
  </si>
  <si>
    <t>きょう　驚風　1800　鍼灸備要　小坂元祐_ページ_3.jpg</t>
  </si>
  <si>
    <t>きょう　驚風　1800　鍼灸備要　小坂元祐_ページ_4.jpg</t>
  </si>
  <si>
    <t>きょう　驚風　1807　急慢驚風　続名家灸選　平井庸信_ページ_1.jpg</t>
  </si>
  <si>
    <t>きょう　驚風　1807　急慢驚風　続名家灸選　平井庸信_ページ_2.jpg</t>
  </si>
  <si>
    <t>きょう　驚風　小児のひきつける病　小児ちく溺（ちくでき）　1887（明治20）　鍼灸備要　青山道醇.jpg</t>
  </si>
  <si>
    <t>きょう　驚風　成書年未詳　灸穴集　著者未詳.jpg</t>
  </si>
  <si>
    <t>きょう　驚風　成書年未詳　灸穴集　著者未詳_ページ_1.jpg</t>
  </si>
  <si>
    <t>きょう　驚風　成書年未詳　灸穴集　著者未詳_ページ_2.jpg</t>
  </si>
  <si>
    <t>きょう　（狂）●陽厥大驚発狂　第二　0300　鍼灸甲乙経　皇甫謐_ページ_1.jpg</t>
  </si>
  <si>
    <t>きょう　（狂）●陽厥大驚発狂　第二　0300　鍼灸甲乙経　皇甫謐_ページ_2.jpg</t>
  </si>
  <si>
    <t>きょう　（狂）●陽厥大驚発狂　第二　0300　鍼灸甲乙経　皇甫謐_ページ_3.jpg</t>
  </si>
  <si>
    <t>きょう　（狂）●陽厥大驚発狂　第二　0300　鍼灸甲乙経　皇甫謐_ページ_4.jpg</t>
  </si>
  <si>
    <t>きょう　（狂）●陽厥大驚発狂　第二　0300　鍼灸甲乙経　皇甫謐_ページ_5.jpg</t>
  </si>
  <si>
    <t>きょう　（胸脇満痛）●肝受病及衛気留積発胸脇満痛　第四　0300　鍼灸甲乙経　皇甫謐_ページ_1.jpg</t>
  </si>
  <si>
    <t>きょう　（胸脇満痛）●肝受病及衛気留積発胸脇満痛　第四　0300　鍼灸甲乙経　皇甫謐_ページ_2.jpg</t>
  </si>
  <si>
    <t>きん　噤風　撮口　臍風　1669　鍼灸枢要　山本玄通_ページ_1.jpg</t>
  </si>
  <si>
    <t>きん　噤風　撮口　臍風　1669　鍼灸枢要　山本玄通_ページ_2.jpg</t>
  </si>
  <si>
    <t>きん　噤風　撮口　臍風　1669　鍼灸枢要　山本玄通_ページ_3.jpg</t>
  </si>
  <si>
    <t>きん　噤風　撮口　臍風　1669　鍼灸枢要　山本玄通_ページ_4.jpg</t>
  </si>
  <si>
    <t>きん　噤風　撮口　臍風　1800　鍼灸備要　小坂元祐_ページ_1.jpg</t>
  </si>
  <si>
    <t>きん　噤風　撮口　臍風　1800　鍼灸備要　小坂元祐_ページ_2.jpg</t>
  </si>
  <si>
    <t>きん　噤風　撮口　臍風　1800　鍼灸備要　小坂元祐_ページ_3.jpg</t>
  </si>
  <si>
    <t>きん　噤風　撮口　臍風　1800　鍼灸備要　小坂元祐_ページ_4.jpg</t>
  </si>
  <si>
    <t>きん　筋急　あしの筋ひきつる人　1780　鍼灸極秘伝　木村太沖.jpg</t>
  </si>
  <si>
    <t>きん　緊唇　1563　鍼灸集要　曲直瀬道三.jpg</t>
  </si>
  <si>
    <t>きん　腎虚頭痛　1794　杉山流鍼術　島浦和田一.jpg</t>
  </si>
  <si>
    <t>きん　金瘡　1686　鍼灸要法指南　岩田利斎.jpg</t>
  </si>
  <si>
    <t>きん　金瘡、お血逆上して心を攻め狂気するもの　きりきずの悪血せめのぼり、気のちがう人　1780　鍼灸極秘伝　木村太沖.jpg</t>
  </si>
  <si>
    <t>きん　金瘡気附鍼　刀にてきられし人の気つけ　1780　鍼灸極秘伝　木村太沖.jpg</t>
  </si>
  <si>
    <t>きん　金瘡跌撲血流不止　1765　鍼法弁惑　藤井秀孟_ページ_1.jpg</t>
  </si>
  <si>
    <t>きん　金瘡跌撲血流不止　1765　鍼法弁惑　藤井秀孟_ページ_2.jpg</t>
  </si>
  <si>
    <t>きん　金瘡跌撲血流不止　1765　鍼法弁惑　藤井秀孟_ページ_3.jpg</t>
  </si>
  <si>
    <t>ぎゃく　瘧　0300　●陰陽相移発三瘧　第五　鍼灸甲乙経　皇甫謐_ページ_1.jpg</t>
  </si>
  <si>
    <t>ぎゃく　瘧　0300　●陰陽相移発三瘧　第五　鍼灸甲乙経　皇甫謐_ページ_2.jpg</t>
  </si>
  <si>
    <t>ぎゃく　瘧　0300　●陰陽相移発三瘧　第五　鍼灸甲乙経　皇甫謐_ページ_3.jpg</t>
  </si>
  <si>
    <t>ぎゃく　瘧　0300　●陰陽相移発三瘧　第五　鍼灸甲乙経　皇甫謐_ページ_4.jpg</t>
  </si>
  <si>
    <t>ぎゃく　瘧　0300　●陰陽相移発三瘧　第五　鍼灸甲乙経　皇甫謐_ページ_5.jpg</t>
  </si>
  <si>
    <t>ぎゃく　瘧　0300　●陰陽相移発三瘧　第五　鍼灸甲乙経　皇甫謐_ページ_6.jpg</t>
  </si>
  <si>
    <t>ぎゃく　瘧　0300　●陰陽相移発三瘧　第五　鍼灸甲乙経　皇甫謐_ページ_7.jpg</t>
  </si>
  <si>
    <t>ぎゃく　瘧　0650　千金方　孫思ばく_ページ_1.jpg</t>
  </si>
  <si>
    <t>ぎゃく　瘧　0650　千金方　孫思ばく_ページ_2.jpg</t>
  </si>
  <si>
    <t>ぎゃく　瘧　1220　（脾寒）　鍼灸資生経　王執中_ページ_1.jpg</t>
  </si>
  <si>
    <t>ぎゃく　瘧　1220　（脾寒）　鍼灸資生経　王執中_ページ_2.jpg</t>
  </si>
  <si>
    <t>ぎゃく　瘧　1220　（脾寒）鍼灸資生経　王執中_ページ_3.jpg</t>
  </si>
  <si>
    <t>ぎゃく　瘧　1299　灸諸瘧　続添要穴集　惟宗時俊.jpg</t>
  </si>
  <si>
    <t>ぎゃく　瘧　1537　鍼灸聚英　明・高武.jpg</t>
  </si>
  <si>
    <t>ぎゃく　瘧　1563　鍼灸集要　曲直瀬道三.jpg</t>
  </si>
  <si>
    <t>ぎゃく　瘧　1594　経脈方寸秘書　曲直瀬道三_ページ_1.jpg</t>
  </si>
  <si>
    <t>ぎゃく　瘧　1594　経脈方寸秘書　曲直瀬道三_ページ_2.jpg</t>
  </si>
  <si>
    <t>ぎゃく　瘧　1607　扁鵲新流鍼書　越齋寿閑.jpg</t>
  </si>
  <si>
    <t>ぎゃく　瘧　1679　鍼法奇貨　渡辺東伯_ページ_1.jpg</t>
  </si>
  <si>
    <t>ぎゃく　瘧　1679　鍼法奇貨　渡辺東伯_ページ_2.jpg</t>
  </si>
  <si>
    <t>ぎゃく　瘧　1679　鍼法奇貨　渡辺東伯_ページ_3.jpg</t>
  </si>
  <si>
    <t>ぎゃく　瘧　1679　鍼法奇貨　渡辺東伯_ページ_4.jpg</t>
  </si>
  <si>
    <t>ぎゃく　瘧　1680　鍼灸抜萃　著者未詳.jpg</t>
  </si>
  <si>
    <t>ぎゃく　瘧　1693　鍼灸要歌集　安井昌玄_ページ_1.jpg</t>
  </si>
  <si>
    <t>ぎゃく　瘧　1693　鍼灸要歌集　安井昌玄_ページ_2.jpg</t>
  </si>
  <si>
    <t>ぎゃく　瘧　1694　鍼灸そかい集　高津敬節_ページ_1.jpg</t>
  </si>
  <si>
    <t>ぎゃく　瘧　1694　鍼灸そかい集　高津敬節_ページ_2.jpg</t>
  </si>
  <si>
    <t>ぎゃく　瘧　1696　広益鍼灸抜萃　著者未詳_ページ_1.jpg</t>
  </si>
  <si>
    <t>ぎゃく　瘧　1696　広益鍼灸抜萃　著者未詳_ページ_2.jpg</t>
  </si>
  <si>
    <t>ぎゃく　瘧　1696　広益鍼灸抜萃　著者未詳_ページ_3.jpg</t>
  </si>
  <si>
    <t>ぎゃく　瘧　1767　鍼灸則　菅沼周桂.jpg</t>
  </si>
  <si>
    <t>ぎゃく　瘧　1794　杉山流鍼術　島浦和田一.jpg</t>
  </si>
  <si>
    <t>ぎゃく　瘧　1813　名家灸選　浅井惟亨_ページ_1.jpg</t>
  </si>
  <si>
    <t>ぎゃく　瘧　1813　名家灸選　浅井惟亨_ページ_2.jpg</t>
  </si>
  <si>
    <t>ぎゃく　瘧妙灸　1594　経脈方寸秘書　曲直瀬道三.jpg</t>
  </si>
  <si>
    <t>ぎゃく　瘧母之針　1685　鍼道秘訣集　御園夢分斎.jpg</t>
  </si>
  <si>
    <t>ぎゃく　瘧母（ぎやくも）　をこりのかたまり　脾臓肥大　1887（明治20）　鍼灸備要　青山道醇.jpg</t>
  </si>
  <si>
    <t>ぎゃく　瘧疾-02　1758　灸ぜつ塩土伝　三宅意安_ページ_1.jpg</t>
  </si>
  <si>
    <t>ぎゃく　瘧疾-02　1758　灸ぜつ塩土伝　三宅意安_ページ_2.jpg</t>
  </si>
  <si>
    <t>ぎゃく　瘧疾-03　1758　灸ぜつ塩土伝　三宅意安_ページ_1.jpg</t>
  </si>
  <si>
    <t>ぎゃく　瘧疾-03　1758　灸ぜつ塩土伝　三宅意安_ページ_2.jpg</t>
  </si>
  <si>
    <t>ぎゃく　瘧疾　1329　扁鵲神応鍼灸玉龍経　元・王国瑞_ページ_1.jpg</t>
  </si>
  <si>
    <t>ぎゃく　瘧疾　1329　扁鵲神応鍼灸玉龍経　元・王国瑞_ページ_2.jpg</t>
  </si>
  <si>
    <t>ぎゃく　瘧疾　1425　神応経　明・陳会撰・劉瑾重校.jpg</t>
  </si>
  <si>
    <t>ぎゃく　瘧疾　1574　兪穴参伍的法　秦宗巴_ページ_1.jpg</t>
  </si>
  <si>
    <t>ぎゃく　瘧疾　1574　兪穴参伍的法　秦宗巴_ページ_2.jpg</t>
  </si>
  <si>
    <t>ぎゃく　瘧疾　1624　類経図翼　明・張介賓_ページ_1.jpg</t>
  </si>
  <si>
    <t>ぎゃく　瘧疾　1624　類経図翼　明・張介賓_ページ_2.jpg</t>
  </si>
  <si>
    <t>ぎゃく　瘧疾　1669　鍼灸枢要　山本玄通_ページ_01.jpg</t>
  </si>
  <si>
    <t>ぎゃく　瘧疾　1669　鍼灸枢要　山本玄通_ページ_02.jpg</t>
  </si>
  <si>
    <t>ぎゃく　瘧疾　1669　鍼灸枢要　山本玄通_ページ_03.jpg</t>
  </si>
  <si>
    <t>ぎゃく　瘧疾　1669　鍼灸枢要　山本玄通_ページ_04.jpg</t>
  </si>
  <si>
    <t>ぎゃく　瘧疾　1669　鍼灸枢要　山本玄通_ページ_05.jpg</t>
  </si>
  <si>
    <t>ぎゃく　瘧疾　1669　鍼灸枢要　山本玄通_ページ_06.jpg</t>
  </si>
  <si>
    <t>ぎゃく　瘧疾　1669　鍼灸枢要　山本玄通_ページ_07.jpg</t>
  </si>
  <si>
    <t>ぎゃく　瘧疾　1669　鍼灸枢要　山本玄通_ページ_08.jpg</t>
  </si>
  <si>
    <t>ぎゃく　瘧疾　1669　鍼灸枢要　山本玄通_ページ_09.jpg</t>
  </si>
  <si>
    <t>ぎゃく　瘧疾　1669　鍼灸枢要　山本玄通_ページ_10.jpg</t>
  </si>
  <si>
    <t>ぎゃく　瘧疾　1669　鍼灸枢要　山本玄通_ページ_11.jpg</t>
  </si>
  <si>
    <t>ぎゃく　瘧疾　1669　鍼灸枢要　山本玄通_ページ_12.jpg</t>
  </si>
  <si>
    <t>ぎゃく　瘧疾　1669　鍼灸枢要　山本玄通_ページ_13.jpg</t>
  </si>
  <si>
    <t>ぎゃく　瘧疾　1669　鍼灸枢要　山本玄通_ページ_14.jpg</t>
  </si>
  <si>
    <t>ぎゃく　瘧疾　1694　選鍼三要集　杉山和一.jpg</t>
  </si>
  <si>
    <t>ぎゃく　瘧疾　1698　鍼灸抜粋大成　岡本一抱.jpg</t>
  </si>
  <si>
    <t>ぎゃく　瘧疾　1758　灸ぜつ塩土伝　三宅意安.jpg</t>
  </si>
  <si>
    <t>ぎゃく　瘧疾　1761　挨穴捷径　杉原敦.jpg</t>
  </si>
  <si>
    <t>ぎゃく　瘧疾　1765　鍼法弁惑　藤井秀孟_ページ_1.jpg</t>
  </si>
  <si>
    <t>ぎゃく　瘧疾　1765　鍼法弁惑　藤井秀孟_ページ_2.jpg</t>
  </si>
  <si>
    <t>ぎゃく　瘧疾　1765　鍼法弁惑　藤井秀孟_ページ_3.jpg</t>
  </si>
  <si>
    <t>ぎゃく　瘧疾　1773　鍼灸手引草　大簡室主人.jpg</t>
  </si>
  <si>
    <t>ぎゃく　瘧疾　1785　鍼書　本城義軒.jpg</t>
  </si>
  <si>
    <t>ぎゃく　瘧疾　1792　鍼法要集　源長起_ページ_1.jpg</t>
  </si>
  <si>
    <t>ぎゃく　瘧疾　1792　鍼法要集　源長起_ページ_2.jpg</t>
  </si>
  <si>
    <t>ぎゃく　瘧疾　1792　鍼法要集　源長起_ページ_3.jpg</t>
  </si>
  <si>
    <t>ぎゃく　瘧疾　1792　鍼法要集　源長起_ページ_4.jpg</t>
  </si>
  <si>
    <t>ぎゃく　瘧疾　1800　鍼灸備要　小坂元祐_ページ_1.jpg</t>
  </si>
  <si>
    <t>ぎゃく　瘧疾　1800　鍼灸備要　小坂元祐_ページ_2.jpg</t>
  </si>
  <si>
    <t>ぎゃく　瘧疾　1800　鍼灸備要　小坂元祐_ページ_3.jpg</t>
  </si>
  <si>
    <t>ぎゃく　瘧疾　1807　続名家灸選　平井庸信_ページ_1.jpg</t>
  </si>
  <si>
    <t>ぎゃく　瘧疾　1807　続名家灸選　平井庸信_ページ_2.jpg</t>
  </si>
  <si>
    <t>ぎゃく　瘧疾　1813　名家灸選三編　平井庸信_ページ_1.jpg</t>
  </si>
  <si>
    <t>ぎゃく　瘧疾　1813　名家灸選三編　平井庸信_ページ_2.jpg</t>
  </si>
  <si>
    <t>ぎゃく　瘧疾　1813　名家灸選三編　平井庸信_ページ_3.jpg</t>
  </si>
  <si>
    <t>ぎゃく　瘧疾　おこり　1686　鍼灸要法指南　岩田利斎_ページ_1.jpg</t>
  </si>
  <si>
    <t>ぎゃく　瘧疾　おこり　1686　鍼灸要法指南　岩田利斎_ページ_2.jpg</t>
  </si>
  <si>
    <t>ぎゃく　瘧疾　おこり　黄疽(おうだん)　1718　鍼灸重宝記　本郷正豊.jpg</t>
  </si>
  <si>
    <t>ぎゃく　瘧疾　ぎゃく、おこり旧（ふるく）わらわやみと云う　1780　鍼灸極秘伝　木村太沖.jpg</t>
  </si>
  <si>
    <t>ぎゃく　瘧疾　成書年未詳　灸穴集　著者未詳_ページ_1.jpg</t>
  </si>
  <si>
    <t>ぎゃく　瘧疾　成書年未詳　灸穴集　著者未詳_ページ_2.jpg</t>
  </si>
  <si>
    <t>ぎゃく　瘧疾　成書年未詳　灸穴集　著者未詳_ページ_3.jpg</t>
  </si>
  <si>
    <t>ぎゃく　瘧疾　成書年未詳　灸穴集　著者未詳_ページ_4.jpg</t>
  </si>
  <si>
    <t>ぎゃく　瘧疾　成書年未詳　経穴図解　著者未詳.jpg</t>
  </si>
  <si>
    <t>ぎゃく　瘧疾奇兪　1758　灸ぜつ塩土伝　三宅意安_ページ_1.jpg</t>
  </si>
  <si>
    <t>ぎゃく　瘧疾奇兪　1758　灸ぜつ塩土伝　三宅意安_ページ_2.jpg</t>
  </si>
  <si>
    <t>ぎゃく　瘧疾（きやくしつ）　をこり　間歇熱　1887（明治20）　鍼灸備要　青山道醇_ページ_1.jpg</t>
  </si>
  <si>
    <t>ぎゃく　瘧疾（きやくしつ）　をこり　間歇熱　1887（明治20）　鍼灸備要　青山道醇_ページ_2.jpg</t>
  </si>
  <si>
    <t>ぎゃく　瘧病　1773　鍼灸手引草　大簡室主人_ページ_1.jpg</t>
  </si>
  <si>
    <t>ぎゃく　瘧病　1773　鍼灸手引草　大簡室主人_ページ_2.jpg</t>
  </si>
  <si>
    <t>ぎゃく　瘧病　1773　鍼灸手引草　大簡室主人_ページ_3.jpg</t>
  </si>
  <si>
    <t>ぎゃく　瘧病　1773　鍼灸手引草　大簡室主人_ページ_4.jpg</t>
  </si>
  <si>
    <t>ぎゃく　瘧観之大事　1685　鍼道秘訣集　御園夢分斎_ページ_1.jpg</t>
  </si>
  <si>
    <t>ぎゃく　瘧観之大事　1685　鍼道秘訣集　御園夢分斎_ページ_2.jpg</t>
  </si>
  <si>
    <t>ぎゃく　諸瘧之治穴　1613　古今集鍼法　長生庵了味か_ページ_1.jpg</t>
  </si>
  <si>
    <t>ぎゃく　諸瘧之治穴　1613　古今集鍼法　長生庵了味か_ページ_2.jpg</t>
  </si>
  <si>
    <t>ぎゃく　諸瘧之治穴　1613　古今集鍼法　長生庵了味か_ページ_3.jpg</t>
  </si>
  <si>
    <t>ぎゃく　逆産　1767　鍼灸則　菅沼周桂_ページ_1.jpg</t>
  </si>
  <si>
    <t>ぎゃく　逆産　1767　鍼灸則　菅沼周桂_ページ_2.jpg</t>
  </si>
  <si>
    <t>ぎゃく　逆睫　1758　灸ぜつ塩土伝　三宅意安_ページ_1.jpg</t>
  </si>
  <si>
    <t>ぎゃく　逆睫　1758　灸ぜつ塩土伝　三宅意安_ページ_2.jpg</t>
  </si>
  <si>
    <t>ぎょう　繞踝風　1315　鍼経摘英集　元・杜思敬「済生抜粋方」_ページ_1.jpg</t>
  </si>
  <si>
    <t>ぎょう　繞踝風　1315　鍼経摘英集　元・杜思敬「済生抜粋方」_ページ_2.jpg</t>
  </si>
  <si>
    <t>ぎょう　行遅（ぎょうち＝ありくとこおそし）　并　髪遅（かみおそし）　1686　鍼灸要法指南　岩田利斎_ページ_1.jpg</t>
  </si>
  <si>
    <t>ぎょう　行遅（ぎょうち＝ありくとこおそし）　并　髪遅（かみおそし）　1686　鍼灸要法指南　岩田利斎_ページ_2.jpg</t>
  </si>
  <si>
    <t>くい　食違　1607　扁鵲新流鍼書　越齋寿閑.jpg</t>
  </si>
  <si>
    <t>くび　縊　くびくくる　1765　鍼法弁惑　藤井秀孟_ページ_1.jpg</t>
  </si>
  <si>
    <t>くび　縊　くびくくる　1765　鍼法弁惑　藤井秀孟_ページ_2.jpg</t>
  </si>
  <si>
    <t>くび　縊　くびくくる　1765　鍼法弁惑　藤井秀孟_ページ_3.jpg</t>
  </si>
  <si>
    <t>くび　縊死する者　くびをくくりて死する人　1780　鍼灸極秘伝　木村太沖.jpg</t>
  </si>
  <si>
    <t>くび　自縊　1226　備急灸法　宋・聞人耆年_ページ_1.jpg</t>
  </si>
  <si>
    <t>くび　自縊　1226　備急灸法　宋・聞人耆年_ページ_2.jpg</t>
  </si>
  <si>
    <t>くび　自縊　1563　鍼灸集要　曲直瀬道三.jpg</t>
  </si>
  <si>
    <t>くび　首縊　くびくくる　1686　鍼灸要法指南　岩田利斎.jpg</t>
  </si>
  <si>
    <t>けい　けいしょう　1669　鍼灸枢要　山本玄通_ページ_1.jpg</t>
  </si>
  <si>
    <t>けい　けいしょう　1669　鍼灸枢要　山本玄通_ページ_2.jpg</t>
  </si>
  <si>
    <t>けい　けいしょう　1800　鍼灸備要　小坂元祐.jpg</t>
  </si>
  <si>
    <t>けい　痙病（けいびやう）　そりのやまい　強直痙攣　1887（明治20）　鍼灸備要　青山道醇.jpg</t>
  </si>
  <si>
    <t>けい　経水不調　成書年未詳　灸穴集　著者未詳_ページ_1.jpg</t>
  </si>
  <si>
    <t>けい　経水不調　成書年未詳　灸穴集　著者未詳_ページ_2.jpg</t>
  </si>
  <si>
    <t>けい　経脈不調　1686　鍼灸要法指南　岩田利斎_ページ_1.jpg</t>
  </si>
  <si>
    <t>けい　経脈不調　1686　鍼灸要法指南　岩田利斎_ページ_2.jpg</t>
  </si>
  <si>
    <t>けい　経脈不調　1693　鍼灸要歌集　安井昌玄_ページ_1.jpg</t>
  </si>
  <si>
    <t>けい　経脈不調　1693　鍼灸要歌集　安井昌玄_ページ_2.jpg</t>
  </si>
  <si>
    <t>けい　経脈不調　1693　鍼灸要歌集　安井昌玄_ページ_3.jpg</t>
  </si>
  <si>
    <t>けい　経脈経閉　1792　鍼法要集　源長起_ページ_1.jpg</t>
  </si>
  <si>
    <t>けい　経脈経閉　1792　鍼法要集　源長起_ページ_2.jpg</t>
  </si>
  <si>
    <t>けい　経脈経閉　1792　鍼法要集　源長起_ページ_3.jpg</t>
  </si>
  <si>
    <t>けい　経行不調及帯下病　1813　名家灸選三編　平井庸信_ページ_1.jpg</t>
  </si>
  <si>
    <t>けい　経行不調及帯下病　1813　名家灸選三編　平井庸信_ページ_2.jpg</t>
  </si>
  <si>
    <t>けい　経閉　血塊　1807　続名家灸選　平井庸信_ページ_1.jpg</t>
  </si>
  <si>
    <t>けい　経閉　血塊　1807　続名家灸選　平井庸信_ページ_2.jpg</t>
  </si>
  <si>
    <t>けい　経閉じ塊を作（な）す者　月やくとどこおりてかたまりになる人　1780　鍼灸極秘伝　木村太沖.jpg</t>
  </si>
  <si>
    <t>けい　茎中痛　1624　類経図翼　明・張介賓.jpg</t>
  </si>
  <si>
    <t>けい　頚項強急　1912年（大正01）　鍼灸手引草　久木田七郎_ページ_1.jpg</t>
  </si>
  <si>
    <t>けい　頚項強急　1912年（大正01）　鍼灸手引草　久木田七郎_ページ_2.jpg</t>
  </si>
  <si>
    <t>けい　頚項強（急腫）　1220　鍼灸資生経　王執中_ページ_1.jpg</t>
  </si>
  <si>
    <t>けい　頚項強（急腫）　1220　鍼灸資生経　王執中_ページ_2.jpg</t>
  </si>
  <si>
    <t>けい　頚項攣痛　くびすじひきつりいたみ　1780　鍼灸極秘伝　木村太沖.jpg</t>
  </si>
  <si>
    <t>けい　頚項痛　1794　杉山流鍼術　島浦和田一.jpg</t>
  </si>
  <si>
    <t>けい　頸項頬頷腫頭面虚腫　1299　続添要穴集　惟宗時俊.jpg</t>
  </si>
  <si>
    <t>けつ　●欠えつ唏振寒噫嚔たん泣出太息羨下耳鳴噛舌善忘善飢　第一　0300　鍼灸甲乙経　皇甫謐_ページ_1.jpg</t>
  </si>
  <si>
    <t>けつ　●欠えつ唏振寒噫嚔たん泣出太息羨下耳鳴噛舌善忘善飢　第一　0300　鍼灸甲乙経　皇甫謐_ページ_2.jpg</t>
  </si>
  <si>
    <t>けつ　●欠えつ唏振寒噫嚔たん泣出太息羨下耳鳴噛舌善忘善飢　第一　0300　鍼灸甲乙経　皇甫謐_ページ_3.jpg</t>
  </si>
  <si>
    <t>けつ　●欠えつ唏振寒噫嚔たん泣出太息羨下耳鳴噛舌善忘善飢　第一　0300　鍼灸甲乙経　皇甫謐_ページ_4.jpg</t>
  </si>
  <si>
    <t>けつ　厥逆　1624　類経図翼　明・張介賓_ページ_1.jpg</t>
  </si>
  <si>
    <t>けつ　厥逆　1624　類経図翼　明・張介賓_ページ_2.jpg</t>
  </si>
  <si>
    <t>けつ　厥逆　1669　鍼灸枢要　山本玄通_ページ_1.jpg</t>
  </si>
  <si>
    <t>けつ　厥逆　1669　鍼灸枢要　山本玄通_ページ_2.jpg</t>
  </si>
  <si>
    <t>けつ　厥逆　1669　鍼灸枢要　山本玄通_ページ_3.jpg</t>
  </si>
  <si>
    <t>けつ　厥逆　1669　鍼灸枢要　山本玄通_ページ_4.jpg</t>
  </si>
  <si>
    <t>けつ　厥逆　1669　鍼灸枢要　山本玄通_ページ_5.jpg</t>
  </si>
  <si>
    <t>けつ　厥逆　1669　鍼灸枢要　山本玄通_ページ_6.jpg</t>
  </si>
  <si>
    <t>けつ　厥逆　1669　鍼灸枢要　山本玄通_ページ_7.jpg</t>
  </si>
  <si>
    <t>けつ　厥逆　1703　鍼灸阿是要穴　岡本一抱.jpg</t>
  </si>
  <si>
    <t>けつ　厥逆　1761　挨穴捷径　杉原敦.jpg</t>
  </si>
  <si>
    <t>けつ　厥逆　気急　眩暈　1758　灸ぜつ塩土伝　三宅意安_ページ_1.jpg</t>
  </si>
  <si>
    <t>けつ　厥逆　気急　眩暈　1758　灸ぜつ塩土伝　三宅意安_ページ_2.jpg</t>
  </si>
  <si>
    <t>けつ　厥逆　気急　眩暈　1758　灸ぜつ塩土伝　三宅意安_ページ_3.jpg</t>
  </si>
  <si>
    <t>けつ　厥頭痛　1794　杉山流鍼術　島浦和田一_ページ_1.jpg</t>
  </si>
  <si>
    <t>けつ　厥頭痛　1794　杉山流鍼術　島浦和田一_ページ_2.jpg</t>
  </si>
  <si>
    <t>けつ　欠　1669　鍼灸枢要　山本玄通_ページ_1.jpg</t>
  </si>
  <si>
    <t>けつ　欠　1669　鍼灸枢要　山本玄通_ページ_2.jpg</t>
  </si>
  <si>
    <t>けつ　欠　1669　鍼灸枢要　山本玄通_ページ_3.jpg</t>
  </si>
  <si>
    <t>けつ　欠　1800　鍼灸備要　小坂元祐.jpg</t>
  </si>
  <si>
    <t>けつ　欠伸不止　1765　鍼法弁惑　藤井秀孟.jpg</t>
  </si>
  <si>
    <t>けつ　結する針　1607　扁鵲新流鍼書　越齋寿閑_ページ_1.jpg</t>
  </si>
  <si>
    <t>けつ　結する針　1607　扁鵲新流鍼書　越齋寿閑_ページ_2.jpg</t>
  </si>
  <si>
    <t>けつ　結核 付 えい瘤瘰癧　1698　鍼灸抜粋大成　岡本一抱.jpg</t>
  </si>
  <si>
    <t>けつ　結核　附　時毒（えはれ）　1686　鍼灸要法指南　岩田利斎.jpg</t>
  </si>
  <si>
    <t>けつ　結胸　1537　鍼灸聚英　明・高武_ページ_1.jpg</t>
  </si>
  <si>
    <t>けつ　結胸　1537　鍼灸聚英　明・高武_ページ_2.jpg</t>
  </si>
  <si>
    <t>けつ　血塊　1686　鍼灸要法指南　岩田利斎_ページ_1.jpg</t>
  </si>
  <si>
    <t>けつ　血塊　1686　鍼灸要法指南　岩田利斎_ページ_2.jpg</t>
  </si>
  <si>
    <t>けつ　血塊　1693　鍼灸要歌集　安井昌玄_ページ_1.jpg</t>
  </si>
  <si>
    <t>けつ　血塊　1693　鍼灸要歌集　安井昌玄_ページ_2.jpg</t>
  </si>
  <si>
    <t>けつ　血塊　1767　鍼灸則　菅沼周桂.jpg</t>
  </si>
  <si>
    <t>けつ　血塊　成書年未詳　灸穴集　著者未詳.jpg</t>
  </si>
  <si>
    <t>けつ　血塊（お血）　1220　鍼灸資生経　王執中.jpg</t>
  </si>
  <si>
    <t>けつ　血崩　1220　鍼灸資生経　王執中_ページ_1.jpg</t>
  </si>
  <si>
    <t>けつ　血崩　1220　鍼灸資生経　王執中_ページ_2.jpg</t>
  </si>
  <si>
    <t>けつ　血崩　1686　鍼灸要法指南　岩田利斎.jpg</t>
  </si>
  <si>
    <t>けつ　血崩　1693　鍼灸要歌集　安井昌玄.jpg</t>
  </si>
  <si>
    <t>けつ　血崩　1767　鍼灸則　菅沼周桂.jpg</t>
  </si>
  <si>
    <t>けつ　血崩不止　1694　選鍼三要集　杉山和一.jpg</t>
  </si>
  <si>
    <t>けつ　血暈　めまい　1686　鍼灸要法指南　岩田利斎.jpg</t>
  </si>
  <si>
    <t>けつ　血暈之論　1693　鍼灸要歌集　安井昌玄.jpg</t>
  </si>
  <si>
    <t>けつ　血淋　成書年未詳　灸穴集　著者未詳.jpg</t>
  </si>
  <si>
    <t>けつ　血病　1703　鍼灸阿是要穴　岡本一抱_ページ_1.jpg</t>
  </si>
  <si>
    <t>けつ　血病　1703　鍼灸阿是要穴　岡本一抱_ページ_2.jpg</t>
  </si>
  <si>
    <t>けつ　血症　1813　名家灸選　浅井惟亨.jpg</t>
  </si>
  <si>
    <t>けつ　血症、吐血　1694　選鍼三要集　杉山和一.jpg</t>
  </si>
  <si>
    <t>けつ　血痔　はしりち　痔血、又、出血痔　1887（明治20）　鍼灸備要　青山道醇.jpg</t>
  </si>
  <si>
    <t>けつ　血証　1624　類経図翼　明・張介賓_ページ_1.jpg</t>
  </si>
  <si>
    <t>けつ　血証　1624　類経図翼　明・張介賓_ページ_2.jpg</t>
  </si>
  <si>
    <t>けつ　血証　1624　類経図翼　明・張介賓_ページ_3.jpg</t>
  </si>
  <si>
    <t>けつ　血証　1624　類経図翼　明・張介賓_ページ_4.jpg</t>
  </si>
  <si>
    <t>けつ　血証　1669　鍼灸枢要　山本玄通_ページ_1.jpg</t>
  </si>
  <si>
    <t>けつ　血証　1669　鍼灸枢要　山本玄通_ページ_2.jpg</t>
  </si>
  <si>
    <t>けつ　血証　1669　鍼灸枢要　山本玄通_ページ_3.jpg</t>
  </si>
  <si>
    <t>けつ　血証　1669　鍼灸枢要　山本玄通_ページ_4.jpg</t>
  </si>
  <si>
    <t>けつ　血証　1669　鍼灸枢要　山本玄通_ページ_5.jpg</t>
  </si>
  <si>
    <t>けつ　血証　1669　鍼灸枢要　山本玄通_ページ_6.jpg</t>
  </si>
  <si>
    <t>けつ　血証　1669　鍼灸枢要　山本玄通_ページ_7.jpg</t>
  </si>
  <si>
    <t>けつ　血証　1669　鍼灸枢要　山本玄通_ページ_8.jpg</t>
  </si>
  <si>
    <t>けつ　血証　1669　鍼灸枢要　山本玄通_ページ_9.jpg</t>
  </si>
  <si>
    <t>けつ　血証　1761　挨穴捷径　杉原敦_ページ_1.jpg</t>
  </si>
  <si>
    <t>けつ　血証　1761　挨穴捷径　杉原敦_ページ_2.jpg</t>
  </si>
  <si>
    <t>けつ　血証　1800　鍼灸備要　小坂元祐_ページ_1.jpg</t>
  </si>
  <si>
    <t>けつ　血証　1800　鍼灸備要　小坂元祐_ページ_2.jpg</t>
  </si>
  <si>
    <t>けつ　血証　1800　鍼灸備要　小坂元祐_ページ_3.jpg</t>
  </si>
  <si>
    <t>けつ　血証　1800　鍼灸備要　小坂元祐_ページ_4.jpg</t>
  </si>
  <si>
    <t>けつ　諸穴直（しょけつのなおし）　1686　鍼灸要法指南　岩田利斎.jpg</t>
  </si>
  <si>
    <t>けつ　諸血　1767　鍼灸則　菅沼周桂_ページ_1.jpg</t>
  </si>
  <si>
    <t>けつ　諸血　1767　鍼灸則　菅沼周桂_ページ_2.jpg</t>
  </si>
  <si>
    <t>けつ　諸血証　1792　鍼法要集　源長起_ページ_1.jpg</t>
  </si>
  <si>
    <t>けつ　諸血証　1792　鍼法要集　源長起_ページ_2.jpg</t>
  </si>
  <si>
    <t>けつ　諸血証　1792　鍼法要集　源長起_ページ_3.jpg</t>
  </si>
  <si>
    <t>けつ　（崩中お血嘔血唾血）●動作失度内外傷発崩中お血嘔血唾血　第七　0300　鍼灸甲乙経　皇甫謐_ページ_1.jpg</t>
  </si>
  <si>
    <t>けつ　（崩中お血嘔血唾血）●動作失度内外傷発崩中お血嘔血唾血　第七　0300　鍼灸甲乙経　皇甫謐_ページ_2.jpg</t>
  </si>
  <si>
    <t>けつ　（熱厥　寒厥）●陰衰発熱厥陽衰発寒厥　第三　0300　鍼灸甲乙経　皇甫謐_ページ_1.jpg</t>
  </si>
  <si>
    <t>けつ　（熱厥　寒厥）●陰衰発熱厥陽衰発寒厥　第三　0300　鍼灸甲乙経　皇甫謐_ページ_2.jpg</t>
  </si>
  <si>
    <t>けつ　（熱厥　寒厥）●陰衰発熱厥陽衰発寒厥　第三　0300　鍼灸甲乙経　皇甫謐_ページ_3.jpg</t>
  </si>
  <si>
    <t>けん　健忘 附 せいちゅう　1698　鍼灸抜粋大成　岡本一抱.jpg</t>
  </si>
  <si>
    <t>けん　健忘　1669　鍼灸枢要　山本玄通_ページ_1.jpg</t>
  </si>
  <si>
    <t>けん　健忘　1669　鍼灸枢要　山本玄通_ページ_2.jpg</t>
  </si>
  <si>
    <t>けん　健忘　1680　鍼灸抜萃　著者未詳.jpg</t>
  </si>
  <si>
    <t>けん　健忘　1686　鍼灸要法指南　岩田利斎.jpg</t>
  </si>
  <si>
    <t>けん　健忘　1693　鍼灸要歌集　安井昌玄_ページ_1.jpg</t>
  </si>
  <si>
    <t>けん　健忘　1693　鍼灸要歌集　安井昌玄_ページ_2.jpg</t>
  </si>
  <si>
    <t>けん　健忘　1696　広益鍼灸抜萃　著者未詳.jpg</t>
  </si>
  <si>
    <t>けん　健忘　1767　鍼灸則　菅沼周桂_ページ_1.jpg</t>
  </si>
  <si>
    <t>けん　健忘　1767　鍼灸則　菅沼周桂_ページ_2.jpg</t>
  </si>
  <si>
    <t>けん　健忘　1773　鍼灸手引草　大簡室主人.jpg</t>
  </si>
  <si>
    <t>けん　健忘　1800　鍼灸備要　小坂元祐.jpg</t>
  </si>
  <si>
    <t>けん　健忘　成書年未詳　灸穴集　著者未詳.jpg</t>
  </si>
  <si>
    <t>けん　健忘　成書年未詳　経穴図解　著者未詳.jpg</t>
  </si>
  <si>
    <t>けん　健忘　附　せいちゅう　1694　鍼灸そかい集　高津敬節.jpg</t>
  </si>
  <si>
    <t>けん　健忘せいちゅう　1792　鍼法要集　源長起_ページ_1.jpg</t>
  </si>
  <si>
    <t>けん　健忘せいちゅう　1792　鍼法要集　源長起_ページ_2.jpg</t>
  </si>
  <si>
    <t>けん　健忘・せいちゅう・驚悸　1718　鍼灸重宝記　本郷正豊.jpg</t>
  </si>
  <si>
    <t>けん　健忘（けんぼう）　気ぬけ、又、ものわすれ　健忘　1887（明治20）　鍼灸備要　青山道醇.jpg</t>
  </si>
  <si>
    <t>けん　犬傷　成書年未詳　灸穴集　著者未詳_ページ_1.jpg</t>
  </si>
  <si>
    <t>けん　犬傷　成書年未詳　灸穴集　著者未詳_ページ_2.jpg</t>
  </si>
  <si>
    <t>けん　犬傷（蛇傷）　1220　鍼灸資生経　王執中.jpg</t>
  </si>
  <si>
    <t>けん　犬咬　1226　備急灸法　宋・聞人耆年.jpg</t>
  </si>
  <si>
    <t>けん　痃癖　1220　鍼灸資生経　王執中.jpg</t>
  </si>
  <si>
    <t>けん　痃癖　1680　鍼灸抜萃　著者未詳.jpg</t>
  </si>
  <si>
    <t>けん　痃癖　1693　鍼灸要歌集　安井昌玄_ページ_1.jpg</t>
  </si>
  <si>
    <t>けん　痃癖　1693　鍼灸要歌集　安井昌玄_ページ_2.jpg</t>
  </si>
  <si>
    <t>けん　痃癖　1694　鍼灸そかい集　高津敬節_ページ_1.jpg</t>
  </si>
  <si>
    <t>けん　痃癖　1694　鍼灸そかい集　高津敬節_ページ_2.jpg</t>
  </si>
  <si>
    <t>けん　痃癖　1696　広益鍼灸抜萃　著者未詳_ページ_1.jpg</t>
  </si>
  <si>
    <t>けん　痃癖　1696　広益鍼灸抜萃　著者未詳_ページ_2.jpg</t>
  </si>
  <si>
    <t>けん　痃癖　1696　広益鍼灸抜萃　著者未詳_ページ_3.jpg</t>
  </si>
  <si>
    <t>けん　痃癖　1718　鍼灸重宝記　本郷正豊.jpg</t>
  </si>
  <si>
    <t>けん　痃癖　1773　鍼灸手引草　大簡室主人_ページ_1.jpg</t>
  </si>
  <si>
    <t>けん　痃癖　1773　鍼灸手引草　大簡室主人_ページ_2.jpg</t>
  </si>
  <si>
    <t>けん　痃癖　かたかい　1686　鍼灸要法指南　岩田利斎_ページ_1.jpg</t>
  </si>
  <si>
    <t>けん　痃癖　かたかい　1686　鍼灸要法指南　岩田利斎_ページ_2.jpg</t>
  </si>
  <si>
    <t>けん　痃癖　疝か　石か　腸覃　1669　鍼灸枢要　山本玄通_ページ_1.jpg</t>
  </si>
  <si>
    <t>けん　痃癖　疝か　石か　腸覃　1669　鍼灸枢要　山本玄通_ページ_2.jpg</t>
  </si>
  <si>
    <t>けん　痃癖　疝か　石か　腸覃　1669　鍼灸枢要　山本玄通_ページ_3.jpg</t>
  </si>
  <si>
    <t>けん　痃癖　疝か　石か　腸覃　1669　鍼灸枢要　山本玄通_ページ_4.jpg</t>
  </si>
  <si>
    <t>けん　痃癖卒痛（げんへきそつつう）　はやうちかた　心胸神経痛　1887（明治20）　鍼灸備要　青山道醇.jpg</t>
  </si>
  <si>
    <t>けん　痃癖，小腸，膀胱，腎餘※①，疝気等疾　1315　鍼経摘英集　元・杜思敬「済生抜粋方」_ページ_1.jpg</t>
  </si>
  <si>
    <t>けん　痃癖，小腸，膀胱，腎餘※①，疝気等疾　1315　鍼経摘英集　元・杜思敬「済生抜粋方」_ページ_2.jpg</t>
  </si>
  <si>
    <t>けん　肩息　1800　鍼灸備要　小坂元祐.jpg</t>
  </si>
  <si>
    <t>けん　肩痛　1887（明治20）　鍼灸備要　青山道醇.jpg</t>
  </si>
  <si>
    <t>けん　肩痛　かたのいたみ　1780　鍼灸極秘伝　木村太沖.jpg</t>
  </si>
  <si>
    <t>けん　肩痺痛（不仁不挙）　1220　鍼灸資生経　王執中.jpg</t>
  </si>
  <si>
    <t>けん　肩瘡　成書年未詳　灸穴集　著者未詳.jpg</t>
  </si>
  <si>
    <t>けん　肩穴返り妙灸　1594　経脈方寸秘書　曲直瀬道三_ページ_1.jpg</t>
  </si>
  <si>
    <t>けん　肩穴返り妙灸　1594　経脈方寸秘書　曲直瀬道三_ページ_2.jpg</t>
  </si>
  <si>
    <t>けん　肩背　0650　千金方　孫思ばく.jpg</t>
  </si>
  <si>
    <t>けん　肩背　1669　鍼灸枢要　山本玄通_ページ_1.jpg</t>
  </si>
  <si>
    <t>けん　肩背　1669　鍼灸枢要　山本玄通_ページ_2.jpg</t>
  </si>
  <si>
    <t>けん　肩背　1669　鍼灸枢要　山本玄通_ページ_3.jpg</t>
  </si>
  <si>
    <t>けん　肩背　1669　鍼灸枢要　山本玄通_ページ_4.jpg</t>
  </si>
  <si>
    <t>けん　肩背　1669　鍼灸枢要　山本玄通_ページ_5.jpg</t>
  </si>
  <si>
    <t>けん　肩背　1792　鍼法要集　源長起_ページ_1.jpg</t>
  </si>
  <si>
    <t>けん　肩背　1792　鍼法要集　源長起_ページ_2.jpg</t>
  </si>
  <si>
    <t>けん　肩背　1800　鍼灸備要　小坂元祐.jpg</t>
  </si>
  <si>
    <t>けん　肩背痛　1299　続添要穴集　惟宗時俊_ページ_1.jpg</t>
  </si>
  <si>
    <t>けん　肩背痛　1299　続添要穴集　惟宗時俊_ページ_2.jpg</t>
  </si>
  <si>
    <t>けん　肩背痛　1329　扁鵲神応鍼灸玉龍経　元・王国瑞.jpg</t>
  </si>
  <si>
    <t>けん　肩背痛　1792　鍼法要集　源長起_ページ_1.jpg</t>
  </si>
  <si>
    <t>けん　肩背痛　1792　鍼法要集　源長起_ページ_2.jpg</t>
  </si>
  <si>
    <t>けん　肩背痛肩前臑皆痛似抜　0300　●手太陰陽明太陽少陽脈動発肩背痛肩前臑皆痛似抜　第五　鍼灸甲乙経　皇甫謐_ページ_1.jpg</t>
  </si>
  <si>
    <t>けん　肩背痛肩前臑皆痛似抜　0300　●手太陰陽明太陽少陽脈動発肩背痛肩前臑皆痛似抜　第五　鍼灸甲乙経　皇甫謐_ページ_2.jpg</t>
  </si>
  <si>
    <t>けん　肩背酸痛　1220　鍼灸資生経　王執中_ページ_1.jpg</t>
  </si>
  <si>
    <t>けん　肩背酸痛　1220　鍼灸資生経　王執中_ページ_2.jpg</t>
  </si>
  <si>
    <t>けん　肩背酸痛　1220　鍼灸資生経　王執中_ページ_3.jpg</t>
  </si>
  <si>
    <t>けん　肩腫痛　1329　扁鵲神応鍼灸玉龍経　元・王国瑞.jpg</t>
  </si>
  <si>
    <t>けん　肩膊臂痛　1912年（大正01）　鍼灸手引草　久木田七郎.jpg</t>
  </si>
  <si>
    <t>けん　肩臂痛　1537　鍼灸聚英　明・高武.jpg</t>
  </si>
  <si>
    <t>げ　下り腹　1607　扁鵲新流鍼書　越齋寿閑.jpg</t>
  </si>
  <si>
    <t>げ　下利　1813　名家灸選　浅井惟亨.jpg</t>
  </si>
  <si>
    <t>げ　下死胎　1694　選鍼三要集　杉山和一.jpg</t>
  </si>
  <si>
    <t>げ　下疳　一名陰蝕瘡　1686　鍼灸要法指南　岩田利斎.jpg</t>
  </si>
  <si>
    <t>げ　下疳瘡　成書年未詳　灸穴集　著者未詳.jpg</t>
  </si>
  <si>
    <t>げ　下痢　1807　続名家灸選　平井庸信_ページ_1.jpg</t>
  </si>
  <si>
    <t>げ　下痢　1807　続名家灸選　平井庸信_ページ_2.jpg</t>
  </si>
  <si>
    <t>げ　下痢症　1912年（大正01）　鍼灸手引草　久木田七郎_ページ_1.jpg</t>
  </si>
  <si>
    <t>げ　下痢症　1912年（大正01）　鍼灸手引草　久木田七郎_ページ_2.jpg</t>
  </si>
  <si>
    <t>げ　下血 附 溺血　1698　鍼灸抜粋大成　岡本一抱.jpg</t>
  </si>
  <si>
    <t>げ　下血　1537　鍼灸聚英　明・高武.jpg</t>
  </si>
  <si>
    <t>げ　下血　1607　扁鵲新流鍼書　越齋寿閑.jpg</t>
  </si>
  <si>
    <t>げ　下血　1680　鍼灸抜萃　著者未詳.jpg</t>
  </si>
  <si>
    <t>げ　下血　1693　鍼灸要歌集　安井昌玄_ページ_1.jpg</t>
  </si>
  <si>
    <t>げ　下血　1693　鍼灸要歌集　安井昌玄_ページ_2.jpg</t>
  </si>
  <si>
    <t>げ　下血　1696　広益鍼灸抜萃　著者未詳.jpg</t>
  </si>
  <si>
    <t>げ　下血　1773　鍼灸手引草　大簡室主人_ページ_1.jpg</t>
  </si>
  <si>
    <t>げ　下血　1773　鍼灸手引草　大簡室主人_ページ_2.jpg</t>
  </si>
  <si>
    <t>げ　下血　ちをくだす　1718　鍼灸重宝記　本郷正豊.jpg</t>
  </si>
  <si>
    <t>げ　下血　大便に血下る病の事　1694　療治之大概集　杉山和一.jpg</t>
  </si>
  <si>
    <t>げ　下血　成書年未詳　経穴図解　著者未詳.jpg</t>
  </si>
  <si>
    <t>げ　下血　血のくだる人　1780　鍼灸極秘伝　木村太沖.jpg</t>
  </si>
  <si>
    <t>げ　下血　附　溺血　1694　鍼灸そかい集　高津敬節.jpg</t>
  </si>
  <si>
    <t>げ　内外下疳瘡　成書年未詳　灸穴集　著者未詳.jpg</t>
  </si>
  <si>
    <t>げ　外科　1624　類経図翼　明・張介賓_ページ_01.jpg</t>
  </si>
  <si>
    <t>げ　外科　1624　類経図翼　明・張介賓_ページ_02.jpg</t>
  </si>
  <si>
    <t>げ　外科　1624　類経図翼　明・張介賓_ページ_03.jpg</t>
  </si>
  <si>
    <t>げ　外科　1624　類経図翼　明・張介賓_ページ_04.jpg</t>
  </si>
  <si>
    <t>げ　外科　1624　類経図翼　明・張介賓_ページ_05.jpg</t>
  </si>
  <si>
    <t>げ　外科　1624　類経図翼　明・張介賓_ページ_06.jpg</t>
  </si>
  <si>
    <t>げ　外科　1624　類経図翼　明・張介賓_ページ_07.jpg</t>
  </si>
  <si>
    <t>げ　外科　1624　類経図翼　明・張介賓_ページ_08.jpg</t>
  </si>
  <si>
    <t>げ　外科　1624　類経図翼　明・張介賓_ページ_09.jpg</t>
  </si>
  <si>
    <t>げ　外科　1624　類経図翼　明・張介賓_ページ_10.jpg</t>
  </si>
  <si>
    <t>げ　外科　1624　類経図翼　明・張介賓_ページ_11.jpg</t>
  </si>
  <si>
    <t>げ　外科　1624　類経図翼　明・張介賓_ページ_12.jpg</t>
  </si>
  <si>
    <t>げ　外科　1624　類経図翼　明・張介賓_ページ_13.jpg</t>
  </si>
  <si>
    <t>げ　外科　1761　挨穴捷径　杉原敦_ページ_1.jpg</t>
  </si>
  <si>
    <t>げ　外科　1761　挨穴捷径　杉原敦_ページ_2.jpg</t>
  </si>
  <si>
    <t>げ　外科　1761　挨穴捷径　杉原敦_ページ_3.jpg</t>
  </si>
  <si>
    <t>げ　外科　1761　挨穴捷径　杉原敦_ページ_4.jpg</t>
  </si>
  <si>
    <t>げ　外科　1761　挨穴捷径　杉原敦_ページ_5.jpg</t>
  </si>
  <si>
    <t>げ　解顱（げろ・かいろ）　はちひらく　腫水腫　1887（明治20）　鍼灸備要　青山道醇_ページ_1.jpg</t>
  </si>
  <si>
    <t>げ　解顱（げろ・かいろ）　はちひらく　腫水腫　1887（明治20）　鍼灸備要　青山道醇_ページ_2.jpg</t>
  </si>
  <si>
    <t>げつ　月事　1220　鍼灸資生経　王執中_ページ_1.jpg</t>
  </si>
  <si>
    <t>げつ　月事　1220　鍼灸資生経　王執中_ページ_2.jpg</t>
  </si>
  <si>
    <t>げつ　月信痛　つぎむし、又、いんばらむし　月経困難　1887（明治20）　鍼灸備要　青山道醇.jpg</t>
  </si>
  <si>
    <t>げつ　月水とどこおり不同なる事　1607　扁鵲新流鍼書　越齋寿閑.jpg</t>
  </si>
  <si>
    <t>げつ　月水不通　めぐりとまる　月経閉止　1887（明治20）　鍼灸備要　青山道醇.jpg</t>
  </si>
  <si>
    <t>げつ　月水日を連ねて多き事　1607　扁鵲新流鍼書　越齋寿閑_ページ_1.jpg</t>
  </si>
  <si>
    <t>げつ　月水日を連ねて多き事　1607　扁鵲新流鍼書　越齋寿閑_ページ_2.jpg</t>
  </si>
  <si>
    <t>げつ　月水過多　めぐりのことにつよきもの　1887（明治20）　鍼灸備要　青山道醇.jpg</t>
  </si>
  <si>
    <t>げつ　月経　1669　鍼灸枢要　山本玄通_ページ_1.jpg</t>
  </si>
  <si>
    <t>げつ　月経　1669　鍼灸枢要　山本玄通_ページ_2.jpg</t>
  </si>
  <si>
    <t>げつ　月経　1669　鍼灸枢要　山本玄通_ページ_3.jpg</t>
  </si>
  <si>
    <t>げつ　月経　1669　鍼灸枢要　山本玄通_ページ_4.jpg</t>
  </si>
  <si>
    <t>げつ　月経　1669　鍼灸枢要　山本玄通_ページ_5.jpg</t>
  </si>
  <si>
    <t>げつ　月経　1669　鍼灸枢要　山本玄通_ページ_6.jpg</t>
  </si>
  <si>
    <t>げつ　月経　1794　杉山流鍼術　島浦和田一_ページ_1.jpg</t>
  </si>
  <si>
    <t>げつ　月経　1794　杉山流鍼術　島浦和田一_ページ_2.jpg</t>
  </si>
  <si>
    <t>げつ　月経　1800　鍼灸備要　小坂元祐_ページ_1.jpg</t>
  </si>
  <si>
    <t>げつ　月経　1800　鍼灸備要　小坂元祐_ページ_2.jpg</t>
  </si>
  <si>
    <t>げつ　月経　1800　鍼灸備要　小坂元祐_ページ_3.jpg</t>
  </si>
  <si>
    <t>げつ　月経　1800　鍼灸備要　小坂元祐_ページ_4.jpg</t>
  </si>
  <si>
    <t>げつ　月経不順　つきのものふめぐり　月経変調　1887（明治20）　鍼灸備要　青山道醇.jpg</t>
  </si>
  <si>
    <t>げつ　月腫之針穴　1613　古今集鍼法　長生庵了味か.jpg</t>
  </si>
  <si>
    <t>げつ　月蝕瘡　1686　鍼灸要法指南　岩田利斎.jpg</t>
  </si>
  <si>
    <t>げん　厥逆　気急　眩暈　1758　灸ぜつ塩土伝　三宅意安_ページ_1.jpg</t>
  </si>
  <si>
    <t>げん　厥逆　気急　眩暈　1758　灸ぜつ塩土伝　三宅意安_ページ_2.jpg</t>
  </si>
  <si>
    <t>げん　厥逆　気急　眩暈　1758　灸ぜつ塩土伝　三宅意安_ページ_3.jpg</t>
  </si>
  <si>
    <t>げん　痃癖(げんぺき)　1607　扁鵲新流鍼書　越齋寿閑_ページ_1.jpg</t>
  </si>
  <si>
    <t>げん　痃癖(げんぺき)　1607　扁鵲新流鍼書　越齋寿閑_ページ_2.jpg</t>
  </si>
  <si>
    <t>げん　眩暈　1607　扁鵲新流鍼書　越齋寿閑_ページ_1.jpg</t>
  </si>
  <si>
    <t>げん　眩暈　1607　扁鵲新流鍼書　越齋寿閑_ページ_2.jpg</t>
  </si>
  <si>
    <t>げん　眩暈　1613　古今集鍼法　長生庵了味か.jpg</t>
  </si>
  <si>
    <t>げん　眩暈　1669　鍼灸枢要　山本玄通_ページ_1.jpg</t>
  </si>
  <si>
    <t>げん　眩暈　1669　鍼灸枢要　山本玄通_ページ_2.jpg</t>
  </si>
  <si>
    <t>げん　眩暈　1669　鍼灸枢要　山本玄通_ページ_3.jpg</t>
  </si>
  <si>
    <t>げん　眩暈　1669　鍼灸枢要　山本玄通_ページ_4.jpg</t>
  </si>
  <si>
    <t>げん　眩暈　1679　鍼法奇貨　渡辺東伯_ページ_1.jpg</t>
  </si>
  <si>
    <t>げん　眩暈　1679　鍼法奇貨　渡辺東伯_ページ_2.jpg</t>
  </si>
  <si>
    <t>げん　眩暈　1680　鍼灸抜萃　著者未詳.jpg</t>
  </si>
  <si>
    <t>げん　眩暈　1686　めまい　鍼灸要法指南　岩田利斎.jpg</t>
  </si>
  <si>
    <t>げん　眩暈　1693　鍼灸要歌集　安井昌玄.jpg</t>
  </si>
  <si>
    <t>げん　眩暈　1694　目のまふ事　療治之大概集　杉山和一.jpg</t>
  </si>
  <si>
    <t>げん　眩暈　1694　鍼灸そかい集　高津敬節.jpg</t>
  </si>
  <si>
    <t>げん　眩暈　1696　広益鍼灸抜萃　著者未詳.jpg</t>
  </si>
  <si>
    <t>げん　眩暈　1698　鍼灸抜粋大成　岡本一抱.jpg</t>
  </si>
  <si>
    <t>げん　眩暈　1718　かしらくるめき、めくるめく　鍼灸重宝記　本郷正豊.jpg</t>
  </si>
  <si>
    <t>げん　眩暈　1765　鍼法弁惑　藤井秀孟_ページ_1.jpg</t>
  </si>
  <si>
    <t>げん　眩暈　1765　鍼法弁惑　藤井秀孟_ページ_2.jpg</t>
  </si>
  <si>
    <t>げん　眩暈　1767　鍼灸則　菅沼周桂_ページ_1.jpg</t>
  </si>
  <si>
    <t>げん　眩暈　1767　鍼灸則　菅沼周桂_ページ_2.jpg</t>
  </si>
  <si>
    <t>げん　眩暈　1773　鍼灸手引草　大簡室主人_ページ_1.jpg</t>
  </si>
  <si>
    <t>げん　眩暈　1773　鍼灸手引草　大簡室主人_ページ_2.jpg</t>
  </si>
  <si>
    <t>げん　眩暈　1785　鍼書　本城義軒_ページ_1.jpg</t>
  </si>
  <si>
    <t>げん　眩暈　1785　鍼書　本城義軒_ページ_2.jpg</t>
  </si>
  <si>
    <t>げん　眩暈　1792　鍼法要集　源長起_ページ_1.jpg</t>
  </si>
  <si>
    <t>げん　眩暈　1792　鍼法要集　源長起_ページ_2.jpg</t>
  </si>
  <si>
    <t>げん　眩暈　1794　杉山流鍼術　島浦和田一_ページ_1.jpg</t>
  </si>
  <si>
    <t>げん　眩暈　1794　杉山流鍼術　島浦和田一_ページ_2.jpg</t>
  </si>
  <si>
    <t>げん　眩暈　1800　岡田流鍼術書　岡田見龍_ページ_1.jpg</t>
  </si>
  <si>
    <t>げん　眩暈　1800　岡田流鍼術書　岡田見龍_ページ_2.jpg</t>
  </si>
  <si>
    <t>げん　眩暈　1800　鍼灸備要　小坂元祐_ページ_1.jpg</t>
  </si>
  <si>
    <t>げん　眩暈　1800　鍼灸備要　小坂元祐_ページ_2.jpg</t>
  </si>
  <si>
    <t>げん　眩暈　成書年未詳　灸穴集　著者未詳_ページ_1.jpg</t>
  </si>
  <si>
    <t>げん　眩暈　成書年未詳　灸穴集　著者未詳_ページ_2.jpg</t>
  </si>
  <si>
    <t>げん　眩暈　成書年未詳　灸穴集　著者未詳_ページ_3.jpg</t>
  </si>
  <si>
    <t>げん　眩暈　成書年未詳　灸穴集　著者未詳_ページ_4.jpg</t>
  </si>
  <si>
    <t>げん　眩暈　成書年未詳　経穴図解　著者未詳.jpg</t>
  </si>
  <si>
    <t>げん　眩運　1887（明治20）　（けんうん）（＝眩暈）　めまい、又、たちぐらみ　眩暈（けんうん）、又、頭旋（づせん）　鍼灸備要　青山道醇.jpg</t>
  </si>
  <si>
    <t>げん　眩量　1780　めまい　鍼灸極秘伝　木村太沖.jpg</t>
  </si>
  <si>
    <t>げん　言遅　1693　鍼灸要歌集　安井昌玄_ページ_1.jpg</t>
  </si>
  <si>
    <t>げん　言遅　1693　鍼灸要歌集　安井昌玄_ページ_2.jpg</t>
  </si>
  <si>
    <t>げん　頭痛　眩暈　1807　続名家灸選　平井庸信_ページ_1.jpg</t>
  </si>
  <si>
    <t>げん　頭痛　眩暈　1807　続名家灸選　平井庸信_ページ_2.jpg</t>
  </si>
  <si>
    <t>げん　頭痛　眩暈　1807　続名家灸選　平井庸信_ページ_3.jpg</t>
  </si>
  <si>
    <t>こ　子安易産針　1613　古今集鍼法　長生庵了味か.jpg</t>
  </si>
  <si>
    <t>こ　子槍心　1765　鍼法弁惑　藤井秀孟.jpg</t>
  </si>
  <si>
    <t>こ　子煩（こわずらう）　1686　鍼灸要法指南　岩田利斎.jpg</t>
  </si>
  <si>
    <t>こ　小舌は舌　1607　扁鵲新流鍼書　越齋寿閑_ページ_1.jpg</t>
  </si>
  <si>
    <t>こ　小舌は舌　1607　扁鵲新流鍼書　越齋寿閑_ページ_2.jpg</t>
  </si>
  <si>
    <t>こ　無子（こなし）　1686　鍼灸要法指南　岩田利斎.jpg</t>
  </si>
  <si>
    <t>こ　狐臭　陰臭　1807　続名家灸選　平井庸信.jpg</t>
  </si>
  <si>
    <t>こ　股痛　1767　鍼灸則　菅沼周桂_ページ_1.jpg</t>
  </si>
  <si>
    <t>こ　股痛　1767　鍼灸則　菅沼周桂_ページ_2.jpg</t>
  </si>
  <si>
    <t>こ　虎口之紋にて疾之安危を知る事　1693　鍼灸要歌集　安井昌玄_ページ_1.jpg</t>
  </si>
  <si>
    <t>こ　虎口之紋にて疾之安危を知る事　1693　鍼灸要歌集　安井昌玄_ページ_2.jpg</t>
  </si>
  <si>
    <t>こ　蠱毒　1220　鍼灸資生経　王執中_ページ_1.jpg</t>
  </si>
  <si>
    <t>こ　蠱毒　1220　鍼灸資生経　王執中_ページ_2.jpg</t>
  </si>
  <si>
    <t>こ　鼓脹　1537　鍼灸聚英　明・高武.jpg</t>
  </si>
  <si>
    <t>こ　鼓脹　1761　挨穴捷径　杉原敦_ページ_1.jpg</t>
  </si>
  <si>
    <t>こ　鼓脹　1761　挨穴捷径　杉原敦_ページ_2.jpg</t>
  </si>
  <si>
    <t>こ　鼓脹　1767　鍼灸則　菅沼周桂.jpg</t>
  </si>
  <si>
    <t>こ　鼓脹　大抵水腫極禁鍼刺。　1624　類経図翼　明・張介賓_ページ_1.jpg</t>
  </si>
  <si>
    <t>こ　鼓脹　大抵水腫極禁鍼刺。　1624　類経図翼　明・張介賓_ページ_2.jpg</t>
  </si>
  <si>
    <t>こ　鼓脹　大抵水腫極禁鍼刺。　1624　類経図翼　明・張介賓_ページ_3.jpg</t>
  </si>
  <si>
    <t>こ　鼓脹　大抵水腫極禁鍼刺。　1624　類経図翼　明・張介賓_ページ_4.jpg</t>
  </si>
  <si>
    <t>こ　鼓脹（余見腹脹）　1220　鍼灸資生経　王執中.jpg</t>
  </si>
  <si>
    <t>こう　こうこう不能視　1765　鍼法弁惑　藤井秀孟.jpg</t>
  </si>
  <si>
    <t>こう　こう子　1563　鍼灸集要　曲直瀬道三.jpg</t>
  </si>
  <si>
    <t>こう　口　舌　1669　鍼灸枢要　山本玄通_ページ_01.jpg</t>
  </si>
  <si>
    <t>こう　口　舌　1669　鍼灸枢要　山本玄通_ページ_02.jpg</t>
  </si>
  <si>
    <t>こう　口　舌　1669　鍼灸枢要　山本玄通_ページ_03.jpg</t>
  </si>
  <si>
    <t>こう　口　舌　1669　鍼灸枢要　山本玄通_ページ_04.jpg</t>
  </si>
  <si>
    <t>こう　口　舌　1669　鍼灸枢要　山本玄通_ページ_05.jpg</t>
  </si>
  <si>
    <t>こう　口　舌　1669　鍼灸枢要　山本玄通_ページ_06.jpg</t>
  </si>
  <si>
    <t>こう　口　舌　1669　鍼灸枢要　山本玄通_ページ_07.jpg</t>
  </si>
  <si>
    <t>こう　口　舌　1669　鍼灸枢要　山本玄通_ページ_08.jpg</t>
  </si>
  <si>
    <t>こう　口　舌　1669　鍼灸枢要　山本玄通_ページ_09.jpg</t>
  </si>
  <si>
    <t>こう　口　舌　1669　鍼灸枢要　山本玄通_ページ_10.jpg</t>
  </si>
  <si>
    <t>こう　口　舌　1669　鍼灸枢要　山本玄通_ページ_11.jpg</t>
  </si>
  <si>
    <t>こう　口　舌　1669　鍼灸枢要　山本玄通_ページ_12.jpg</t>
  </si>
  <si>
    <t>こう　口いんあ　1220　鍼灸資生経　王執中_ページ_1.jpg</t>
  </si>
  <si>
    <t>こう　口いんあ　1220　鍼灸資生経　王執中_ページ_2.jpg</t>
  </si>
  <si>
    <t>こう　口か僻　附噤口　1299　続添要穴集　惟宗時俊.jpg</t>
  </si>
  <si>
    <t>こう　口中の針　1607　扁鵲新流鍼書　越齋寿閑.jpg</t>
  </si>
  <si>
    <t>こう　口中痛　1758　灸ぜつ塩土伝　三宅意安.jpg</t>
  </si>
  <si>
    <t>こう　口中門　口歯の疾の事　1694　療治之大概集　杉山和一.jpg</t>
  </si>
  <si>
    <t>こう　口唇　1679　鍼法奇貨　渡辺東伯_ページ_1.jpg</t>
  </si>
  <si>
    <t>こう　口唇　1679　鍼法奇貨　渡辺東伯_ページ_2.jpg</t>
  </si>
  <si>
    <t>こう　口唇　1679　鍼法奇貨　渡辺東伯_ページ_3.jpg</t>
  </si>
  <si>
    <t>こう　口唇　1679　鍼法奇貨　渡辺東伯_ページ_4.jpg</t>
  </si>
  <si>
    <t>こう　口唇　1679　鍼法奇貨　渡辺東伯_ページ_5.jpg</t>
  </si>
  <si>
    <t>こう　口噤　1299　続添要穴集　惟宗時俊.jpg</t>
  </si>
  <si>
    <t>こう　口噤不開　1299　続添要穴集　惟宗時俊.jpg</t>
  </si>
  <si>
    <t>こう　口噤不開　1624　類経図翼　明・張介賓.jpg</t>
  </si>
  <si>
    <t>こう　口噤不開　1694　選鍼三要集　杉山和一_ページ_1.jpg</t>
  </si>
  <si>
    <t>こう　口噤不開　1694　選鍼三要集　杉山和一_ページ_2.jpg</t>
  </si>
  <si>
    <t>こう　口歯疳瘡　1220　鍼灸資生経　王執中.jpg</t>
  </si>
  <si>
    <t>こう　口歯病　0300　●手足陽明脈動発口歯病　第六　鍼灸甲乙経　皇甫謐_ページ_1.jpg</t>
  </si>
  <si>
    <t>こう　口歯病　0300　●手足陽明脈動発口歯病　第六　鍼灸甲乙経　皇甫謐_ページ_2.jpg</t>
  </si>
  <si>
    <t>こう　口気　1329　扁鵲神応鍼灸玉龍経　元・王国瑞_ページ_1.jpg</t>
  </si>
  <si>
    <t>こう　口気　1329　扁鵲神応鍼灸玉龍経　元・王国瑞_ページ_2.jpg</t>
  </si>
  <si>
    <t>こう　口病　0650　千金方　孫思ばく_ページ_1.jpg</t>
  </si>
  <si>
    <t>こう　口病　0650　千金方　孫思ばく_ページ_2.jpg</t>
  </si>
  <si>
    <t>こう　口病　1574　兪穴参伍的法　秦宗巴.jpg</t>
  </si>
  <si>
    <t>こう　口病　1718　鍼灸重宝記　本郷正豊.jpg</t>
  </si>
  <si>
    <t>こう　口病　1773　鍼灸手引草　大簡室主人_ページ_1.jpg</t>
  </si>
  <si>
    <t>こう　口病　1773　鍼灸手引草　大簡室主人_ページ_2.jpg</t>
  </si>
  <si>
    <t>こう　口瘡　鵞口　1686　鍼灸要法指南　岩田利斎.jpg</t>
  </si>
  <si>
    <t>こう　口瘡鷲口　1693　鍼灸要歌集　安井昌玄_ページ_1.jpg</t>
  </si>
  <si>
    <t>こう　口瘡鷲口　1693　鍼灸要歌集　安井昌玄_ページ_2.jpg</t>
  </si>
  <si>
    <t>こう　口瘡，舌下腫難言，舌縦涎出及舌根急縮　1315　鍼経摘英集　元・杜思敬「済生抜粋方」.jpg</t>
  </si>
  <si>
    <t>こう　口眼か　1220　鍼灸資生経　王執中_ページ_1.jpg</t>
  </si>
  <si>
    <t>こう　口眼か　1220　鍼灸資生経　王執中_ページ_2.jpg</t>
  </si>
  <si>
    <t>こう　口眼か斜　1299　続添要穴集　惟宗時俊_ページ_1.jpg</t>
  </si>
  <si>
    <t>こう　口眼か斜　1299　続添要穴集　惟宗時俊_ページ_2.jpg</t>
  </si>
  <si>
    <t>こう　口眼か斜　1329　扁鵲神応鍼灸玉龍経　元・王国瑞_ページ_1.jpg</t>
  </si>
  <si>
    <t>こう　口眼か斜　1329　扁鵲神応鍼灸玉龍経　元・王国瑞_ページ_2.jpg</t>
  </si>
  <si>
    <t>こう　口眼か斜　1624　類経図翼　明・張介賓_ページ_1.jpg</t>
  </si>
  <si>
    <t>こう　口眼か斜　1624　類経図翼　明・張介賓_ページ_2.jpg</t>
  </si>
  <si>
    <t>こう　口眼か斜　1694　選鍼三要集　杉山和一.jpg</t>
  </si>
  <si>
    <t>こう　口眼か斜　1765　鍼法弁惑　藤井秀孟.jpg</t>
  </si>
  <si>
    <t>こう　口眼か斜（こうがんくわしゃ）　くちゆかむ　1887（明治20）　鍼灸備要　青山道醇.jpg</t>
  </si>
  <si>
    <t>こう　口糜（こうび）　こうねつ　加多児（カタル）性口内炎　1887（明治20）　鍼灸備要　青山道醇.jpg</t>
  </si>
  <si>
    <t>こう　口緩　1220　鍼灸資生経　王執中.jpg</t>
  </si>
  <si>
    <t>こう　口舌　1686　鍼灸要法指南　岩田利斎_ページ_1.jpg</t>
  </si>
  <si>
    <t>こう　口舌　1686　鍼灸要法指南　岩田利斎_ページ_2.jpg</t>
  </si>
  <si>
    <t>こう　口舌　1694　鍼灸そかい集　高津敬節.jpg</t>
  </si>
  <si>
    <t>こう　口舌　1800　鍼灸備要　小坂元祐_ページ_1.jpg</t>
  </si>
  <si>
    <t>こう　口舌　1800　鍼灸備要　小坂元祐_ページ_2.jpg</t>
  </si>
  <si>
    <t>こう　口舌　1800　鍼灸備要　小坂元祐_ページ_3.jpg</t>
  </si>
  <si>
    <t>こう　口舌乾苦（熱臭）　1220　鍼灸資生経　王執中.jpg</t>
  </si>
  <si>
    <t>こう　口舌生瘡　口中（こうちゅう）また、した（舌）にかさいづる人　1780　鍼灸極秘伝　木村太沖.jpg</t>
  </si>
  <si>
    <t>こう　口舌病　1767　鍼灸則　菅沼周桂_ページ_1.jpg</t>
  </si>
  <si>
    <t>こう　口舌病　1767　鍼灸則　菅沼周桂_ページ_2.jpg</t>
  </si>
  <si>
    <t>こう　口舌瘡痛糜爛疳蝕　1794　杉山流鍼術　島浦和田一.jpg</t>
  </si>
  <si>
    <t>こう　口鼻出血　1765　鍼法弁惑　藤井秀孟_ページ_1.jpg</t>
  </si>
  <si>
    <t>こう　口鼻出血　1765　鍼法弁惑　藤井秀孟_ページ_2.jpg</t>
  </si>
  <si>
    <t>こう　口鼻出血　1765　鍼法弁惑　藤井秀孟_ページ_3.jpg</t>
  </si>
  <si>
    <t>こう　咬蛸　1792　鍼法要集　源長起_ページ_1.jpg</t>
  </si>
  <si>
    <t>こう　咬蛸　1792　鍼法要集　源長起_ページ_2.jpg</t>
  </si>
  <si>
    <t>こう　咳嗽　吼哮　1807　続名家灸選　平井庸信_ページ_1.jpg</t>
  </si>
  <si>
    <t>こう　咳嗽　吼哮　1807　続名家灸選　平井庸信_ページ_2.jpg</t>
  </si>
  <si>
    <t>こう　咳嗽　吼哮　1807　続名家灸選　平井庸信_ページ_3.jpg</t>
  </si>
  <si>
    <t>こう　哮　1703　鍼灸阿是要穴　岡本一抱_ページ_1.jpg</t>
  </si>
  <si>
    <t>こう　哮　1703　鍼灸阿是要穴　岡本一抱_ページ_2.jpg</t>
  </si>
  <si>
    <t>こう　哮喘痰嗽　1329　扁鵲神応鍼灸玉龍経　元・王国瑞.jpg</t>
  </si>
  <si>
    <t>こう　喉咽病　0650　千金方　孫思ばく.jpg</t>
  </si>
  <si>
    <t>こう　喉咽鳴（雑病）　1220　鍼灸資生経　王執中.jpg</t>
  </si>
  <si>
    <t>こう　喉痺　0650　千金方　孫思ばく_ページ_1.jpg</t>
  </si>
  <si>
    <t>こう　喉痺　0650　千金方　孫思ばく_ページ_2.jpg</t>
  </si>
  <si>
    <t>こう　喉痺　1220　鍼灸資生経　王執中.jpg</t>
  </si>
  <si>
    <t>こう　喉痺　1315　鍼経摘英集　元・杜思敬「済生抜粋方」.jpg</t>
  </si>
  <si>
    <t>こう　喉痺　1537　鍼灸聚英　明・高武.jpg</t>
  </si>
  <si>
    <t>こう　喉痺　1563　鍼灸集要　曲直瀬道三.jpg</t>
  </si>
  <si>
    <t>こう　喉痺　1694　鍼灸そかい集　高津敬節.jpg</t>
  </si>
  <si>
    <t>こう　喉痺　1765　鍼法弁惑　藤井秀孟_ページ_1.jpg</t>
  </si>
  <si>
    <t>こう　喉痺　1765　鍼法弁惑　藤井秀孟_ページ_2.jpg</t>
  </si>
  <si>
    <t>こう　喉痺　1767　鍼灸則　菅沼周桂.jpg</t>
  </si>
  <si>
    <t>こう　喉痺　1912年（大正01）　鍼灸手引草　久木田七郎.jpg</t>
  </si>
  <si>
    <t>こう　喉痺　こうひ　扁桃腺炎　1887（明治20）　鍼灸備要　青山道醇.jpg</t>
  </si>
  <si>
    <t>こう　喉痺　玉機微義針灸証治　1537　鍼灸聚英　明・高武_ページ_1.jpg</t>
  </si>
  <si>
    <t>こう　喉痺　玉機微義針灸証治　1537　鍼灸聚英　明・高武_ページ_2.jpg</t>
  </si>
  <si>
    <t>こう　喉痺之針穴　1613　古今集鍼法　長生庵了味か.jpg</t>
  </si>
  <si>
    <t>こう　喉痺咽痛　●手足陽明少陽脈動発喉痺咽痛　第八　0300　鍼灸甲乙経　皇甫謐.jpg</t>
  </si>
  <si>
    <t>こう　喉痺奇兪　1703　鍼灸阿是要穴　岡本一抱.jpg</t>
  </si>
  <si>
    <t>こう　喉痺奇穴　1758　灸ぜつ塩土伝　三宅意安_ページ_1.jpg</t>
  </si>
  <si>
    <t>こう　喉痺奇穴　1758　灸ぜつ塩土伝　三宅意安_ページ_2.jpg</t>
  </si>
  <si>
    <t>こう　喉痺（こうひ）　にわかに咽喉（のんど）のはれふさがる　1780　鍼灸極秘伝　木村太沖.jpg</t>
  </si>
  <si>
    <t>こう　喉風（こうふう）　のどけ　咽喉加多児（カタル）　1887（明治20）　鍼灸備要　青山道醇.jpg</t>
  </si>
  <si>
    <t>こう　拘攣　0300　●八虚受痛発拘攣　第三　鍼灸甲乙経　皇甫謐.jpg</t>
  </si>
  <si>
    <t>こう　睾丸打欲絶　成書年未詳　灸穴集　著者未詳.jpg</t>
  </si>
  <si>
    <t>こう　紅絲疔　1773　鍼灸手引草　大簡室主人_ページ_1.jpg</t>
  </si>
  <si>
    <t>こう　紅絲疔　1773　鍼灸手引草　大簡室主人_ページ_2.jpg</t>
  </si>
  <si>
    <t>こう　紅絲疔　1773　鍼灸手引草　大簡室主人_ページ_3.jpg</t>
  </si>
  <si>
    <t>こう　行遅　1669　鍼灸枢要　山本玄通.jpg</t>
  </si>
  <si>
    <t>こう　行遅髪遅之論　1693　鍼灸要歌集　安井昌玄.jpg</t>
  </si>
  <si>
    <t>こう　項強　1794　杉山流鍼術　島浦和田一.jpg</t>
  </si>
  <si>
    <t>こう　項強　1794　杉山流鍼術　島浦和田一_ページ_1.jpg</t>
  </si>
  <si>
    <t>こう　項強　1794　杉山流鍼術　島浦和田一_ページ_2.jpg</t>
  </si>
  <si>
    <t>こう　項病　0650　千金方　孫思ばく.jpg</t>
  </si>
  <si>
    <t>こう　項軟（小児）　1669　鍼灸枢要　山本玄通.jpg</t>
  </si>
  <si>
    <t>こう　項頚　1794　杉山流鍼術　島浦和田一.jpg</t>
  </si>
  <si>
    <t>こく　穀道無孔　1686　鍼灸要法指南　岩田利斎_ページ_1.jpg</t>
  </si>
  <si>
    <t>こく　穀道無孔　1686　鍼灸要法指南　岩田利斎_ページ_2.jpg</t>
  </si>
  <si>
    <t>こく　穀道無孔　1693　鍼灸要歌集　安井昌玄.jpg</t>
  </si>
  <si>
    <t>こつ　骨疼（骨髄）　1220　鍼灸資生経　王執中.jpg</t>
  </si>
  <si>
    <t>こつ　骨疽　1226　備急灸法　宋・聞人耆年.jpg</t>
  </si>
  <si>
    <t>こつ　骨蒸　1220　二十種　鍼灸資生経　王執中_ページ_1.jpg</t>
  </si>
  <si>
    <t>こつ　骨蒸　1220　二十種　鍼灸資生経　王執中_ページ_2.jpg</t>
  </si>
  <si>
    <t>ご　五労七傷　咳嗽　1758　灸ぜつ塩土伝　三宅意安_ページ_1.jpg</t>
  </si>
  <si>
    <t>ご　五労七傷　咳嗽　1758　灸ぜつ塩土伝　三宅意安_ページ_2.jpg</t>
  </si>
  <si>
    <t>ご　五労七傷　咳嗽　1758　灸ぜつ塩土伝　三宅意安_ページ_3.jpg</t>
  </si>
  <si>
    <t>ご　五噎，黄たん，酢心，多睡，嘔吐不止　1315　鍼経摘英集　元・杜思敬「済生抜粋方」.jpg</t>
  </si>
  <si>
    <t>ご　五条　1758　灸ぜつ塩土伝　三宅意安_ページ_1.jpg</t>
  </si>
  <si>
    <t>ご　五条　1758　灸ぜつ塩土伝　三宅意安_ページ_2.jpg</t>
  </si>
  <si>
    <t>ご　五条　1758　灸ぜつ塩土伝　三宅意安_ページ_3.jpg</t>
  </si>
  <si>
    <t>ご　五条　1758　灸ぜつ塩土伝　三宅意安_ページ_4.jpg</t>
  </si>
  <si>
    <t>ご　五条　1758　灸ぜつ塩土伝　三宅意安_ページ_5.jpg</t>
  </si>
  <si>
    <t>ご　五条　1758　灸ぜつ塩土伝　三宅意安_ページ_6.jpg</t>
  </si>
  <si>
    <t>ご　五膈気喘息不止　1315　鍼経摘英集　元・杜思敬「済生抜粋方」_ページ_1.jpg</t>
  </si>
  <si>
    <t>ご　五膈気喘息不止　1315　鍼経摘英集　元・杜思敬「済生抜粋方」_ページ_2.jpg</t>
  </si>
  <si>
    <t>ご　五臓六腑補瀉之法　1792　鍼法要集　源長起_ページ_1.jpg</t>
  </si>
  <si>
    <t>ご　五臓六腑補瀉之法　1792　鍼法要集　源長起_ページ_2.jpg</t>
  </si>
  <si>
    <t>ご　五臓六腑補瀉之法　1792　鍼法要集　源長起_ページ_3.jpg</t>
  </si>
  <si>
    <t>ご　五臓六腑補瀉之法　1792　鍼法要集　源長起_ページ_4.jpg</t>
  </si>
  <si>
    <t>ご　語遅　1669　鍼灸枢要　山本玄通_ページ_1.jpg</t>
  </si>
  <si>
    <t>ご　語遅　1669　鍼灸枢要　山本玄通_ページ_2.jpg</t>
  </si>
  <si>
    <t>ご　語遅　1686　鍼灸要法指南　岩田利斎.jpg</t>
  </si>
  <si>
    <t>ご　誤呑諸物　1686　鍼灸要法指南　岩田利斎.jpg</t>
  </si>
  <si>
    <t>さい　さい疾　1224　医説　宋・張杲_ページ_1.jpg</t>
  </si>
  <si>
    <t>さい　さい疾　1224　医説　宋・張杲_ページ_2.jpg</t>
  </si>
  <si>
    <t>さい　催生　はやめ　1686　鍼灸要法指南　岩田利斎.jpg</t>
  </si>
  <si>
    <t>さい　催生　はやめ　1765　鍼法弁惑　藤井秀孟.jpg</t>
  </si>
  <si>
    <t>さい　温臍種子方　1807　続名家灸選　平井庸信_ページ_1.jpg</t>
  </si>
  <si>
    <t>さい　温臍種子方　1807　続名家灸選　平井庸信_ページ_2.jpg</t>
  </si>
  <si>
    <t>さい　臍下の結塊、伏杯の如き者　へその下のかたまり、手にあたる事こぶしを入るるごとし　1780　鍼灸極秘伝　木村太沖.jpg</t>
  </si>
  <si>
    <t>さい　臍痛　1220　鍼灸資生経　王執中_ページ_1.jpg</t>
  </si>
  <si>
    <t>さい　臍痛　1220　鍼灸資生経　王執中_ページ_2.jpg</t>
  </si>
  <si>
    <t>さい　臍腫　成書年未詳　灸穴集　著者未詳.jpg</t>
  </si>
  <si>
    <t>さい　臍風　1224　医説　宋・張杲.jpg</t>
  </si>
  <si>
    <t>さい　臍風撮口　1686　鍼灸要法指南　岩田利斎.jpg</t>
  </si>
  <si>
    <t>さい　臍風撮口　1693　鍼灸要歌集　安井昌玄_ページ_1.jpg</t>
  </si>
  <si>
    <t>さい　臍風撮口　1693　鍼灸要歌集　安井昌玄_ページ_2.jpg</t>
  </si>
  <si>
    <t>さい　臍風撮口　1694　選鍼三要集　杉山和一.jpg</t>
  </si>
  <si>
    <t>さい　臍風撮口　成書年未詳　灸穴集　著者未詳.jpg</t>
  </si>
  <si>
    <t>さい　臍風撮口（さいふうさつこう）　つぼくち　又、ほほづきむし　小児強直痙攣　1887（明治20）　鍼灸備要　青山道醇.jpg</t>
  </si>
  <si>
    <t>さけ　酒を止むる事　1607　扁鵲新流鍼書　越齋寿閑.jpg</t>
  </si>
  <si>
    <t>さけ　酒酔　成書年未詳　灸穴集　著者未詳.jpg</t>
  </si>
  <si>
    <t>さん　三焦　1329　扁鵲神応鍼灸玉龍経　元・王国瑞.jpg</t>
  </si>
  <si>
    <t>さん　産前　1694　療治之大概集　杉山和一.jpg</t>
  </si>
  <si>
    <t>さん　産前後諸病灸法　成書年未詳　灸穴集　著者未詳.jpg</t>
  </si>
  <si>
    <t>さん　産前臨産　1792　鍼法要集　源長起_ページ_1.jpg</t>
  </si>
  <si>
    <t>さん　産前臨産　1792　鍼法要集　源長起_ページ_2.jpg</t>
  </si>
  <si>
    <t>さん　産前臨産　1792　鍼法要集　源長起_ページ_3.jpg</t>
  </si>
  <si>
    <t>さん　産婦血運不省人事　1315　鍼経摘英集　元・杜思敬「済生抜粋方」.jpg</t>
  </si>
  <si>
    <t>さん　産子上逼心　1315　鍼経摘英集　元・杜思敬「済生抜粋方」.jpg</t>
  </si>
  <si>
    <t>さん　産後　01　1694　療治之大概集　杉山和一.jpg</t>
  </si>
  <si>
    <t>さん　産後　02　1694　療治之大概集　杉山和一.jpg</t>
  </si>
  <si>
    <t>さん　産後　1607　扁鵲新流鍼書　越齋寿閑.jpg</t>
  </si>
  <si>
    <t>さん　産後　1669　鍼灸枢要　山本玄通_ページ_1.jpg</t>
  </si>
  <si>
    <t>さん　産後　1669　鍼灸枢要　山本玄通_ページ_2.jpg</t>
  </si>
  <si>
    <t>さん　産後　1669　鍼灸枢要　山本玄通_ページ_3.jpg</t>
  </si>
  <si>
    <t>さん　産後　1694　鍼灸そかい集　高津敬節_ページ_1.jpg</t>
  </si>
  <si>
    <t>さん　産後　1694　鍼灸そかい集　高津敬節_ページ_2.jpg</t>
  </si>
  <si>
    <t>さん　産後　1718　鍼灸重宝記　本郷正豊_ページ_1.jpg</t>
  </si>
  <si>
    <t>さん　産後　1718　鍼灸重宝記　本郷正豊_ページ_2.jpg</t>
  </si>
  <si>
    <t>さん　産後　1773　鍼灸手引草　大簡室主人_ページ_1.jpg</t>
  </si>
  <si>
    <t>さん　産後　1773　鍼灸手引草　大簡室主人_ページ_2.jpg</t>
  </si>
  <si>
    <t>さん　産後　1773　鍼灸手引草　大簡室主人_ページ_3.jpg</t>
  </si>
  <si>
    <t>さん　産後　　1792　鍼法要集　源長起_ページ_1.jpg</t>
  </si>
  <si>
    <t>さん　産後　　1792　鍼法要集　源長起_ページ_2.jpg</t>
  </si>
  <si>
    <t>さん　産後　　1792　鍼法要集　源長起_ページ_3.jpg</t>
  </si>
  <si>
    <t>さん　産後、悪露下らず、胸腹痛み妨悶する者　おけつよく下りかねて、むねはらいたむ人　1780　鍼灸極秘伝　木村太沖.jpg</t>
  </si>
  <si>
    <t>さん　産後の血暈の気附　さんごのむり（無理）したる時　1780　鍼灸極秘伝　木村太沖.jpg</t>
  </si>
  <si>
    <t>さん　産後余疾（産前）　1220　鍼灸資生経　王執中.jpg</t>
  </si>
  <si>
    <t>さん　産後児枕痛　1693　鍼灸要歌集　安井昌玄.jpg</t>
  </si>
  <si>
    <t>さん　産後児枕痛（しりはらいたむ）　1686　鍼灸要法指南　岩田利斎_ページ_1.jpg</t>
  </si>
  <si>
    <t>さん　産後児枕痛（しりはらいたむ）　1686　鍼灸要法指南　岩田利斎_ページ_2.jpg</t>
  </si>
  <si>
    <t>さん　産後手足穴厥逆　1767　鍼灸則　菅沼周桂_ページ_1.jpg</t>
  </si>
  <si>
    <t>さん　産後手足穴厥逆　1767　鍼灸則　菅沼周桂_ページ_2.jpg</t>
  </si>
  <si>
    <t>さん　産後腹痛　1767　鍼灸則　菅沼周桂.jpg</t>
  </si>
  <si>
    <t>さん　産後血暈　産後のちのぼり　1887（明治20）　鍼灸備要　青山道醇.jpg</t>
  </si>
  <si>
    <t>さん　産後血暈不識人　1767　鍼灸則　菅沼周桂.jpg</t>
  </si>
  <si>
    <t>さん　産後衄血　成書年未詳　灸穴集　著者未詳.jpg</t>
  </si>
  <si>
    <t>さん　産生理不順，或横或逆胎死腹中胞衣不下　1315　鍼経摘英集　元・杜思敬「済生抜粋方」.jpg</t>
  </si>
  <si>
    <t>さん　産科　1807　続名家灸選　平井庸信.jpg</t>
  </si>
  <si>
    <t>さん　産科　1813　名家灸選　浅井惟亨_ページ_1.jpg</t>
  </si>
  <si>
    <t>さん　産科　1813　名家灸選　浅井惟亨_ページ_2.jpg</t>
  </si>
  <si>
    <t>さん　産育　1669　鍼灸枢要　山本玄通_ページ_1.jpg</t>
  </si>
  <si>
    <t>さん　産育　1669　鍼灸枢要　山本玄通_ページ_2.jpg</t>
  </si>
  <si>
    <t>さん　産難横生　1694　選鍼三要集　杉山和一_ページ_1.jpg</t>
  </si>
  <si>
    <t>ざつ　雑病　0650　千金方　孫思ばく_ページ_1.jpg</t>
  </si>
  <si>
    <t>ざつ　雑病　0650　千金方　孫思ばく_ページ_2.jpg</t>
  </si>
  <si>
    <t>ざつ　雑病　1425　神応経　明・陳会撰・劉瑾重校.jpg</t>
  </si>
  <si>
    <t>ざつ　雑病　1785　鍼書　本城義軒_ページ_1.jpg</t>
  </si>
  <si>
    <t>ざつ　雑病　1785　鍼書　本城義軒_ページ_2.jpg</t>
  </si>
  <si>
    <t>ざつ　雑症-02　1813　名家灸選　浅井惟亨.jpg</t>
  </si>
  <si>
    <t>ざつ　雑症　1813　名家灸選　浅井惟亨.jpg</t>
  </si>
  <si>
    <t>ざつ　雑症　保養（小児）　1669　鍼灸枢要　山本玄通_ページ_1.jpg</t>
  </si>
  <si>
    <t>ざつ　雑症　保養（小児）　1669　鍼灸枢要　山本玄通_ページ_2.jpg</t>
  </si>
  <si>
    <t>ざつ　雑症　保養（小児）　1669　鍼灸枢要　山本玄通_ページ_3.jpg</t>
  </si>
  <si>
    <t>ざつ　雑症　保養（小児）　1669　鍼灸枢要　山本玄通_ページ_4.jpg</t>
  </si>
  <si>
    <t>し　し　0300　●太陽中風感於寒湿発し　第四　鍼灸甲乙経　皇甫謐_ページ_1.jpg</t>
  </si>
  <si>
    <t>し　し　0300　●太陽中風感於寒湿発し　第四　鍼灸甲乙経　皇甫謐_ページ_2.jpg</t>
  </si>
  <si>
    <t>し　し　0300　●太陽中風感於寒湿発し　第四　鍼灸甲乙経　皇甫謐_ページ_3.jpg</t>
  </si>
  <si>
    <t>し　し病　すくみ　1686　鍼灸要法指南　岩田利斎_ページ_1.jpg</t>
  </si>
  <si>
    <t>し　し病　すくみ　1686　鍼灸要法指南　岩田利斎_ページ_2.jpg</t>
  </si>
  <si>
    <t>し　し痙　1669　鍼灸枢要　山本玄通_ページ_1.jpg</t>
  </si>
  <si>
    <t>し　し痙　1669　鍼灸枢要　山本玄通_ページ_2.jpg</t>
  </si>
  <si>
    <t>し　し痙　1669　鍼灸枢要　山本玄通_ページ_3.jpg</t>
  </si>
  <si>
    <t>し　下死胎法　1794　杉山流鍼術　島浦和田一_ページ_1.jpg</t>
  </si>
  <si>
    <t>し　下死胎法　1794　杉山流鍼術　島浦和田一_ページ_2.jpg</t>
  </si>
  <si>
    <t>し　下死胎法　1794　杉山流鍼術　島浦和田一_ページ_3.jpg</t>
  </si>
  <si>
    <t>し　刺灸法則　1669　鍼灸枢要　山本玄通.jpg</t>
  </si>
  <si>
    <t>し　刺灸法則（小児）　1800　鍼灸備要　小坂元祐.jpg</t>
  </si>
  <si>
    <t>し　嗜臥　1220　鍼灸資生経　王執中.jpg</t>
  </si>
  <si>
    <t>し　嗜臥　1686　鍼灸要法指南　岩田利斎.jpg</t>
  </si>
  <si>
    <t>し　嗜臥　1912年（大正01）　鍼灸手引草　久木田七郎.jpg</t>
  </si>
  <si>
    <t>し　嗜臥　多寐　不得寐　1800　鍼灸備要　小坂元祐.jpg</t>
  </si>
  <si>
    <t>し　嗜臥　多寐　不得寐　1800　鍼灸備要　小坂元祐_ページ_1.jpg</t>
  </si>
  <si>
    <t>し　嗜臥　多寐　不得寐　1800　鍼灸備要　小坂元祐_ページ_2.jpg</t>
  </si>
  <si>
    <t>し　嗜臥　多寐　不得寐　夢寐　1669　鍼灸枢要　山本玄通.jpg</t>
  </si>
  <si>
    <t>し　四穴総治　1613　古今集鍼法　長生庵了味か.jpg</t>
  </si>
  <si>
    <t>し　四肢不用　0300　●脾受病発四肢不用　第六　鍼灸甲乙経　皇甫謐_ページ_1.jpg</t>
  </si>
  <si>
    <t>し　四肢不用　0300　●脾受病発四肢不用　第六　鍼灸甲乙経　皇甫謐_ページ_2.jpg</t>
  </si>
  <si>
    <t>し　四肢厥　1220　鍼灸資生経　王執中_ページ_1.jpg</t>
  </si>
  <si>
    <t>し　四肢厥　1220　鍼灸資生経　王執中_ページ_2.jpg</t>
  </si>
  <si>
    <t>し　四肢病　0650　千金方　孫思ばく_ページ_1.jpg</t>
  </si>
  <si>
    <t>し　四花　患門穴　1912年（大正01）　鍼灸手引草　久木田七郎_ページ_1.jpg</t>
  </si>
  <si>
    <t>し　四花　患門穴　1912年（大正01）　鍼灸手引草　久木田七郎_ページ_2.jpg</t>
  </si>
  <si>
    <t>し　四逆　1537　鍼灸聚英　明・高武.jpg</t>
  </si>
  <si>
    <t>し　子宮病　こぶくろのいたむやまひ　子宮刺激　1887（明治20）　鍼灸備要　青山道醇.jpg</t>
  </si>
  <si>
    <t>し　子宮脱　小便不通　1912年（大正01）　鍼灸手引草　久木田七郎_ページ_1.jpg</t>
  </si>
  <si>
    <t>し　子宮脱　小便不通　1912年（大正01）　鍼灸手引草　久木田七郎_ページ_2.jpg</t>
  </si>
  <si>
    <t>し　子癇（しかん）　母のはらの内にて子が狂うて気を失うなり　1780　鍼灸極秘伝　木村太沖.jpg</t>
  </si>
  <si>
    <t>し　尸けつ　1315　鍼経摘英集　元・杜思敬「済生抜粋方」.jpg</t>
  </si>
  <si>
    <t>し　尸厥　0300　●腸脈下墜陰脈上争発尸厥　第三　鍼灸甲乙経　皇甫謐.jpg</t>
  </si>
  <si>
    <t>し　尸厥　0650　卒尸厥　千金方　孫思ばく_ページ_1.jpg</t>
  </si>
  <si>
    <t>し　尸厥　0650　卒尸厥　千金方　孫思ばく_ページ_2.jpg</t>
  </si>
  <si>
    <t>し　尸厥　1220　鍼灸資生経　王執中_ページ_1.jpg</t>
  </si>
  <si>
    <t>し　尸厥　1220　鍼灸資生経　王執中_ページ_2.jpg</t>
  </si>
  <si>
    <t>し　尸厥　1220　鍼灸資生経　王執中_ページ_3.jpg</t>
  </si>
  <si>
    <t>し　尸厥　1563　鍼灸集要　曲直瀬道三.jpg</t>
  </si>
  <si>
    <t>し　尸厥　1574　兪穴参伍的法　秦宗巴.jpg</t>
  </si>
  <si>
    <t>し　尸厥　1912年（大正01）　鍼灸手引草　久木田七郎.jpg</t>
  </si>
  <si>
    <t>し　歯不生　1686　鍼灸要法指南　岩田利斎.jpg</t>
  </si>
  <si>
    <t>し　歯噤　1220　鍼灸資生経　王執中.jpg</t>
  </si>
  <si>
    <t>し　歯牙痛　1694　選鍼三要集　杉山和一.jpg</t>
  </si>
  <si>
    <t>し　歯牙（しげ）痛　歯の痛む病　歯神経痛　1887（明治20）　鍼灸備要　青山道醇.jpg</t>
  </si>
  <si>
    <t>し　歯病　0650　千金方　孫思ばく_ページ_1.jpg</t>
  </si>
  <si>
    <t>し　歯病　0650　千金方　孫思ばく_ページ_2.jpg</t>
  </si>
  <si>
    <t>し　歯病　1574　兪穴参伍的法　秦宗巴.jpg</t>
  </si>
  <si>
    <t>し　歯痛　1767　鍼灸則　菅沼周桂_ページ_1.jpg</t>
  </si>
  <si>
    <t>し　歯痛　1767　鍼灸則　菅沼周桂_ページ_2.jpg</t>
  </si>
  <si>
    <t>し　歯痛　成書年未詳　経穴図解　著者未詳_ページ_1.jpg</t>
  </si>
  <si>
    <t>し　歯痛　成書年未詳　経穴図解　著者未詳_ページ_2.jpg</t>
  </si>
  <si>
    <t>し　歯齲　1220　鍼灸資生経　王執中.jpg</t>
  </si>
  <si>
    <t>し　死胎、必ず脈沈にして小腹冷ゆるなり　なんざん、死胎をくだすに　1780　鍼灸極秘伝　木村太沖.jpg</t>
  </si>
  <si>
    <t>しち　七風　1792　鍼法要集　源長起.jpg</t>
  </si>
  <si>
    <t>しつ　失欠　1574　兪穴参伍的法　秦宗巴.jpg</t>
  </si>
  <si>
    <t>しつ　失精　もうそう　遺精　1887（明治20）　鍼灸備要　青山道醇.jpg</t>
  </si>
  <si>
    <t>しつ　失血　1679　鍼法奇貨　渡辺東伯_ページ_1.jpg</t>
  </si>
  <si>
    <t>しつ　失血　1679　鍼法奇貨　渡辺東伯_ページ_2.jpg</t>
  </si>
  <si>
    <t>しつ　失血　1679　鍼法奇貨　渡辺東伯_ページ_3.jpg</t>
  </si>
  <si>
    <t>しつ　失血　1679　鍼法奇貨　渡辺東伯_ページ_4.jpg</t>
  </si>
  <si>
    <t>しつ　失血　1679　鍼法奇貨　渡辺東伯_ページ_5.jpg</t>
  </si>
  <si>
    <t>しつ　失血　1679　鍼法奇貨　渡辺東伯_ページ_6.jpg</t>
  </si>
  <si>
    <t>しつ　失血　1679　鍼法奇貨　渡辺東伯_ページ_7.jpg</t>
  </si>
  <si>
    <t>しつ　失血　1686　鍼灸要法指南　岩田利斎.jpg</t>
  </si>
  <si>
    <t>しつ　失血　1794　杉山流鍼術　島浦和田一.jpg</t>
  </si>
  <si>
    <t>しつ　失音　1315　鍼経摘英集　元・杜思敬「済生抜粋方」_ページ_1.jpg</t>
  </si>
  <si>
    <t>しつ　失音　1315　鍼経摘英集　元・杜思敬「済生抜粋方」_ページ_2.jpg</t>
  </si>
  <si>
    <t>しつ　失音　附声嘶　1299　続添要穴集　惟宗時俊.jpg</t>
  </si>
  <si>
    <t>しつ　湿症　1767　鍼灸則　菅沼周桂_ページ_1.jpg</t>
  </si>
  <si>
    <t>しつ　湿症　1767　鍼灸則　菅沼周桂_ページ_2.jpg</t>
  </si>
  <si>
    <t>しつ　湿痺　0650　千金方　孫思ばく_ページ_1.jpg</t>
  </si>
  <si>
    <t>しつ　湿痺　0650　千金方　孫思ばく_ページ_2.jpg</t>
  </si>
  <si>
    <t>しつ　湿痺　1574　兪穴参伍的法　秦宗巴.jpg</t>
  </si>
  <si>
    <t>しつ　漆瘡　うるしまけ　1686　鍼灸要法指南　岩田利斎.jpg</t>
  </si>
  <si>
    <t>しつ　膝とぐら妙灸　1594　経脈方寸秘書　曲直瀬道三.jpg</t>
  </si>
  <si>
    <t>しつ　膝病　0650　千金方　孫思ばく_ページ_1.jpg</t>
  </si>
  <si>
    <t>しつ　膝病　0650　千金方　孫思ばく_ページ_2.jpg</t>
  </si>
  <si>
    <t>しつ　膝痛（余見脚膝）　1220　鍼灸資生経　王執中_ページ_2.jpg</t>
  </si>
  <si>
    <t>しつ　膝腿無力　1329　扁鵲神応鍼灸玉龍経　元・王国瑞_ページ_1.jpg</t>
  </si>
  <si>
    <t>しつ　膝腿無力　1329　扁鵲神応鍼灸玉龍経　元・王国瑞_ページ_2.jpg</t>
  </si>
  <si>
    <t>しつ　膝風　1329　扁鵲神応鍼灸玉龍経　元・王国瑞_ページ_1.jpg</t>
  </si>
  <si>
    <t>しつ　膝風　1329　扁鵲神応鍼灸玉龍経　元・王国瑞_ページ_2.jpg</t>
  </si>
  <si>
    <t>しぶり　しぶり腹　1607　扁鵲新流鍼書　越齋寿閑.jpg</t>
  </si>
  <si>
    <t>しゃ　瀉痢　1537　鍼灸聚英　明・高武_ページ_1.jpg</t>
  </si>
  <si>
    <t>しゃ　瀉痢　1537　鍼灸聚英　明・高武_ページ_2.jpg</t>
  </si>
  <si>
    <t>しゃ　瀉痢　1624　類経図翼　明・張介賓_ページ_1.jpg</t>
  </si>
  <si>
    <t>しゃ　瀉痢　1624　類経図翼　明・張介賓_ページ_2.jpg</t>
  </si>
  <si>
    <t>しゃ　瀉痢　1624　類経図翼　明・張介賓_ページ_3.jpg</t>
  </si>
  <si>
    <t>しゃ　瀉痢　1694　選鍼三要集　杉山和一.jpg</t>
  </si>
  <si>
    <t>しゃ　瀉痢　1761　挨穴捷径　杉原敦_ページ_1.jpg</t>
  </si>
  <si>
    <t>しゃく　積気　1220　鍼灸資生経　王執中_ページ_1.jpg</t>
  </si>
  <si>
    <t>しゃく　積気　1220　鍼灸資生経　王執中_ページ_2.jpg</t>
  </si>
  <si>
    <t>しゃく　積聚　1220　鍼灸資生経　王執中.jpg</t>
  </si>
  <si>
    <t>しゃく　積聚　1613　古今集鍼法　長生庵了味か.jpg</t>
  </si>
  <si>
    <t>しゃく　積聚　1669　鍼灸枢要　山本玄通_ページ_1.jpg</t>
  </si>
  <si>
    <t>しゃく　積聚　1669　鍼灸枢要　山本玄通_ページ_2.jpg</t>
  </si>
  <si>
    <t>しゃく　積聚　1669　鍼灸枢要　山本玄通_ページ_3.jpg</t>
  </si>
  <si>
    <t>しゃく　積聚　1669　鍼灸枢要　山本玄通_ページ_4.jpg</t>
  </si>
  <si>
    <t>しゃく　積聚　1669　鍼灸枢要　山本玄通_ページ_5.jpg</t>
  </si>
  <si>
    <t>しゃく　積聚　1669　鍼灸枢要　山本玄通_ページ_6.jpg</t>
  </si>
  <si>
    <t>しゃく　積聚　1669　鍼灸枢要　山本玄通_ページ_7.jpg</t>
  </si>
  <si>
    <t>しゃく　積聚　1680　鍼灸抜萃　著者未詳.jpg</t>
  </si>
  <si>
    <t>しゃく　積聚　1686　鍼灸要法指南　岩田利斎_ページ_1.jpg</t>
  </si>
  <si>
    <t>しゃく　積聚　1686　鍼灸要法指南　岩田利斎_ページ_2.jpg</t>
  </si>
  <si>
    <t>しゃく　積聚　1693　鍼灸要歌集　安井昌玄_ページ_1.jpg</t>
  </si>
  <si>
    <t>しゃく　積聚　1693　鍼灸要歌集　安井昌玄_ページ_2.jpg</t>
  </si>
  <si>
    <t>しゃく　積聚　1693　鍼灸要歌集　安井昌玄_ページ_3.jpg</t>
  </si>
  <si>
    <t>しゃく　積聚　1693　鍼灸要歌集　安井昌玄_ページ_4.jpg</t>
  </si>
  <si>
    <t>しゃく　積聚　1694　療治之大概集　杉山和一.jpg</t>
  </si>
  <si>
    <t>しゃく　積聚　1694　鍼灸そかい集　高津敬節.jpg</t>
  </si>
  <si>
    <t>しゃく　積聚　1696　広益鍼灸抜萃　著者未詳_ページ_1.jpg</t>
  </si>
  <si>
    <t>しゃく　積聚　1696　広益鍼灸抜萃　著者未詳_ページ_2.jpg</t>
  </si>
  <si>
    <t>しゃく　積聚　1696　広益鍼灸抜萃　著者未詳_ページ_3.jpg</t>
  </si>
  <si>
    <t>しゃく　積聚　1698　鍼灸抜粋大成　岡本一抱.jpg</t>
  </si>
  <si>
    <t>しゃく　積聚　1767　鍼灸則　菅沼周桂_ページ_1.jpg</t>
  </si>
  <si>
    <t>しゃく　積聚　1767　鍼灸則　菅沼周桂_ページ_2.jpg</t>
  </si>
  <si>
    <t>しゃく　積聚　1767　鍼灸則　菅沼周桂_ページ_3.jpg</t>
  </si>
  <si>
    <t>しゃく　積聚　1773　鍼灸手引草　大簡室主人_ページ_1.jpg</t>
  </si>
  <si>
    <t>しゃく　積聚　1773　鍼灸手引草　大簡室主人_ページ_2.jpg</t>
  </si>
  <si>
    <t>しゃく　積聚　1773　鍼灸手引草　大簡室主人_ページ_3.jpg</t>
  </si>
  <si>
    <t>しゃく　積聚　1773　鍼灸手引草　大簡室主人_ページ_4.jpg</t>
  </si>
  <si>
    <t>しゃく　積聚　1780　　しゃくつかえ　鍼灸極秘伝　木村太沖.jpg</t>
  </si>
  <si>
    <t>しゃく　積聚　1785　鍼書　本城義軒.jpg</t>
  </si>
  <si>
    <t>しゃく　積聚　1792　鍼法要集　源長起_ページ_1.jpg</t>
  </si>
  <si>
    <t>しゃく　積聚　1792　鍼法要集　源長起_ページ_2.jpg</t>
  </si>
  <si>
    <t>しゃく　積聚　1792　鍼法要集　源長起_ページ_3.jpg</t>
  </si>
  <si>
    <t>しゃく　積聚　1800　鍼灸備要　小坂元祐_ページ_1.jpg</t>
  </si>
  <si>
    <t>しゃく　積聚　1800　鍼灸備要　小坂元祐_ページ_2.jpg</t>
  </si>
  <si>
    <t>しゃく　積聚　1800　鍼灸備要　小坂元祐_ページ_3.jpg</t>
  </si>
  <si>
    <t>しゃく　積聚　1800　鍼灸備要　小坂元祐_ページ_4.jpg</t>
  </si>
  <si>
    <t>しゃく　積聚　1800　鍼灸備要　小坂元祐_ページ_5.jpg</t>
  </si>
  <si>
    <t>しゃく　積聚　1912年（大正01）　鍼灸手引草　久木田七郎.jpg</t>
  </si>
  <si>
    <t>しゃく　積聚　ちょうか　1807　続名家灸選　平井庸信_ページ_2.jpg</t>
  </si>
  <si>
    <t>しゃく　積聚　ちょうか　1807　続名家灸選　平井庸信_ページ_3.jpg</t>
  </si>
  <si>
    <t>しゃく　積聚　ちょうか　1807　続名家灸選　平井庸信_ページ_4.jpg</t>
  </si>
  <si>
    <t>しゃく　積聚　ちょうか　1813　名家灸選　浅井惟亨_ページ_1.jpg</t>
  </si>
  <si>
    <t>しゃく　積聚　ちょうか　1813　名家灸選　浅井惟亨_ページ_2.jpg</t>
  </si>
  <si>
    <t>しゃく　積聚　はらのかたまり　1718　鍼灸重宝記　本郷正豊_ページ_1.jpg</t>
  </si>
  <si>
    <t>しゃく　積聚　はらのかたまり　1718　鍼灸重宝記　本郷正豊_ページ_2.jpg</t>
  </si>
  <si>
    <t>しゃく　積聚　成書年未詳　灸穴集　著者未詳_ページ_01.jpg</t>
  </si>
  <si>
    <t>しゃく　積聚　成書年未詳　灸穴集　著者未詳_ページ_02.jpg</t>
  </si>
  <si>
    <t>しゃく　積聚　成書年未詳　灸穴集　著者未詳_ページ_03.jpg</t>
  </si>
  <si>
    <t>しゃく　積聚　成書年未詳　灸穴集　著者未詳_ページ_04.jpg</t>
  </si>
  <si>
    <t>しゃく　積聚　成書年未詳　灸穴集　著者未詳_ページ_05.jpg</t>
  </si>
  <si>
    <t>しゃく　積聚　成書年未詳　灸穴集　著者未詳_ページ_06.jpg</t>
  </si>
  <si>
    <t>しゃく　積聚　成書年未詳　灸穴集　著者未詳_ページ_07.jpg</t>
  </si>
  <si>
    <t>しゃく　積聚　成書年未詳　灸穴集　著者未詳_ページ_08.jpg</t>
  </si>
  <si>
    <t>しゃく　積聚　成書年未詳　灸穴集　著者未詳_ページ_09.jpg</t>
  </si>
  <si>
    <t>しゃく　積聚　成書年未詳　灸穴集　著者未詳_ページ_10.jpg</t>
  </si>
  <si>
    <t>しゃく　積聚　成書年未詳　灸穴集　著者未詳_ページ_11.jpg</t>
  </si>
  <si>
    <t>しゃく　積聚　成書年未詳　灸穴集　著者未詳_ページ_12.jpg</t>
  </si>
  <si>
    <t>しゃく　積聚　成書年未詳　経穴図解　著者未詳_ページ_1.jpg</t>
  </si>
  <si>
    <t>しゃく　積聚　成書年未詳　経穴図解　著者未詳_ページ_2.jpg</t>
  </si>
  <si>
    <t>しゃく　積聚、腹脹りて石の如く、坐臥安からず、二便渋り、上気、遍身腫る　しゃくじゅうにありて石のごとく、小便つうぜず、総身はれる人　1780　鍼灸極秘伝　木村太沖.jpg</t>
  </si>
  <si>
    <t>しゃく　積聚痞塊　1624　類経図翼　明・張介賓_ページ_1.jpg</t>
  </si>
  <si>
    <t>しゃく　積聚痞塊　1624　類経図翼　明・張介賓_ページ_2.jpg</t>
  </si>
  <si>
    <t>しゃく　積聚痞塊　1624　類経図翼　明・張介賓_ページ_3.jpg</t>
  </si>
  <si>
    <t>しゃく　積聚痞塊　1624　類経図翼　明・張介賓_ページ_4.jpg</t>
  </si>
  <si>
    <t>しゃく　積聚痞塊　1694　選鍼三要集　杉山和一.jpg</t>
  </si>
  <si>
    <t>しゃく　積聚痞塊　1703　鍼灸阿是要穴　岡本一抱.jpg</t>
  </si>
  <si>
    <t>しゃく　積聚痞塊　1761　挨穴捷径　杉原敦_ページ_1.jpg</t>
  </si>
  <si>
    <t>しゃく　積聚痞塊　1761　挨穴捷径　杉原敦_ページ_2.jpg</t>
  </si>
  <si>
    <t>しゃく　積聚諸塊　1563　鍼灸集要　曲直瀬道三.jpg</t>
  </si>
  <si>
    <t>しゃく　積聚（しやくじゅ）　しゃくじゅ　印華爾屈篤（インハルクト）　1887（明治20）　鍼灸備要　青山道醇_ページ_1.jpg</t>
  </si>
  <si>
    <t>しゃく　積聚（しやくじゅ）　しゃくじゅ　印華爾屈篤（インハルクト）　1887（明治20）　鍼灸備要　青山道醇_ページ_2.jpg</t>
  </si>
  <si>
    <t>しゃく　諸般積聚部　1425　神応経　明・陳会撰・劉瑾重校_ページ_1.jpg</t>
  </si>
  <si>
    <t>しゃく　諸般積聚部　1425　神応経　明・陳会撰・劉瑾重校_ページ_2.jpg</t>
  </si>
  <si>
    <t>しゅ　手之病　1792　鍼法要集　源長起_ページ_1.jpg</t>
  </si>
  <si>
    <t>しゅ　手之病　1792　鍼法要集　源長起_ページ_2.jpg</t>
  </si>
  <si>
    <t>しゅ　手之病　1792　鍼法要集　源長起_ページ_3.jpg</t>
  </si>
  <si>
    <t>しゅ　手指　1680　鍼灸抜萃　著者未詳.jpg</t>
  </si>
  <si>
    <t>しゅ　手指　1693　鍼灸要歌集　安井昌玄.jpg</t>
  </si>
  <si>
    <t>しゅ　手指　1696　広益鍼灸抜萃　著者未詳.jpg</t>
  </si>
  <si>
    <t>しゅ　手指　1718　鍼灸重宝記　本郷正豊.jpg</t>
  </si>
  <si>
    <t>しゅ　手指　1773　鍼灸手引草　大簡室主人.jpg</t>
  </si>
  <si>
    <t>しゅ　手指拘攣　1912年（大正01）　鍼灸手引草　久木田七郎.jpg</t>
  </si>
  <si>
    <t>しゅ　手指掌腕　1669　鍼灸枢要　山本玄通_ページ_1.jpg</t>
  </si>
  <si>
    <t>しゅ　手指掌腕　1669　鍼灸枢要　山本玄通_ページ_2.jpg</t>
  </si>
  <si>
    <t>しゅ　手指掌腕　1669　鍼灸枢要　山本玄通_ページ_3.jpg</t>
  </si>
  <si>
    <t>しゅ　手指掌腕　1669　鍼灸枢要　山本玄通_ページ_4.jpg</t>
  </si>
  <si>
    <t>しゅ　手指掌腕　1669　鍼灸枢要　山本玄通_ページ_5.jpg</t>
  </si>
  <si>
    <t>しゅ　手指掌腕　1800　鍼灸備要　小坂元祐_ページ_1.jpg</t>
  </si>
  <si>
    <t>しゅ　手指掌腕　1800　鍼灸備要　小坂元祐_ページ_2.jpg</t>
  </si>
  <si>
    <t>しゅ　手指攣　1220　鍼灸資生経　王執中.jpg</t>
  </si>
  <si>
    <t>しゅ　手熱　1220　鍼灸資生経　王執中_ページ_1.jpg</t>
  </si>
  <si>
    <t>しゅ　手熱　1220　鍼灸資生経　王執中_ページ_2.jpg</t>
  </si>
  <si>
    <t>しゅ　手病　0650　千金方　孫思ばく.jpg</t>
  </si>
  <si>
    <t>しゅ　手痛　1686　鍼灸要法指南　岩田利斎_ページ_1.jpg</t>
  </si>
  <si>
    <t>しゅ　手痛　1686　鍼灸要法指南　岩田利斎_ページ_2.jpg</t>
  </si>
  <si>
    <t>しゅ　手痛　1767　鍼灸則　菅沼周桂.jpg</t>
  </si>
  <si>
    <t>しゅ　手痛不挙　1694　選鍼三要集　杉山和一.jpg</t>
  </si>
  <si>
    <t>しゅ　手肘痛之針穴　1613　古今集鍼法　長生庵了味か.jpg</t>
  </si>
  <si>
    <t>しゅ　手腕疼　1329　扁鵲神応鍼灸玉龍経　元・王国瑞.jpg</t>
  </si>
  <si>
    <t>しゅ　手足病　1624　類経図翼　明・張介賓_ページ_1.jpg</t>
  </si>
  <si>
    <t>しゅ　手足病　1624　類経図翼　明・張介賓_ページ_2.jpg</t>
  </si>
  <si>
    <t>しゅ　手足病　1624　類経図翼　明・張介賓_ページ_3.jpg</t>
  </si>
  <si>
    <t>しゅ　手足病　1624　類経図翼　明・張介賓_ページ_4.jpg</t>
  </si>
  <si>
    <t>しゅ　手足病　1624　類経図翼　明・張介賓_ページ_5.jpg</t>
  </si>
  <si>
    <t>しゅ　手足病　1761　挨穴捷径　杉原敦_ページ_1.jpg</t>
  </si>
  <si>
    <t>しゅ　手足病　1761　挨穴捷径　杉原敦_ページ_2.jpg</t>
  </si>
  <si>
    <t>しゅ　手足病　1761　挨穴捷径　杉原敦_ページ_3.jpg</t>
  </si>
  <si>
    <t>しゅ　手足病　1761　挨穴捷径　杉原敦_ページ_4.jpg</t>
  </si>
  <si>
    <t>しゅ　手足腰腋部　1425　神応経　明・陳会撰・劉瑾重校_ページ_1.jpg</t>
  </si>
  <si>
    <t>しゅ　手足腰腋部　1425　神応経　明・陳会撰・劉瑾重校_ページ_2.jpg</t>
  </si>
  <si>
    <t>しゅ　手足腰腋部　1425　神応経　明・陳会撰・劉瑾重校_ページ_3.jpg</t>
  </si>
  <si>
    <t>しゅ　手足腰腋部　1425　神応経　明・陳会撰・劉瑾重校_ページ_4.jpg</t>
  </si>
  <si>
    <t>しゅ　手麻痺　1912年（大正01）　鍼灸手引草　久木田七郎_ページ_1.jpg</t>
  </si>
  <si>
    <t>しゅ　手麻痺　1912年（大正01）　鍼灸手引草　久木田七郎_ページ_2.jpg</t>
  </si>
  <si>
    <t>しゅ　手麻痺不仁（不挙）　1220　鍼灸資生経　王執中_ページ_1.jpg</t>
  </si>
  <si>
    <t>しゅ　手麻痺不仁（不挙）　1220　鍼灸資生経　王執中_ページ_2.jpg</t>
  </si>
  <si>
    <t>しゅ　毎年発腫物妙灸　成書年未詳　灸穴集　著者未詳.jpg</t>
  </si>
  <si>
    <t>しゅ　腫物妙灸-02　1594　経脈方寸秘書　曲直瀬道三_ページ_1.jpg</t>
  </si>
  <si>
    <t>しゅ　腫物妙灸-02　1594　経脈方寸秘書　曲直瀬道三_ページ_2.jpg</t>
  </si>
  <si>
    <t>しゅ　腫物妙灸　1594　経脈方寸秘書　曲直瀬道三_ページ_1.jpg</t>
  </si>
  <si>
    <t>しゅ　腫物妙灸　1594　経脈方寸秘書　曲直瀬道三_ページ_2.jpg</t>
  </si>
  <si>
    <t>しゅ　腫脹　1425　神応経　明・陳会撰・劉瑾重校_ページ_1.jpg</t>
  </si>
  <si>
    <t>しゅ　腫脹　1425　神応経　明・陳会撰・劉瑾重校_ページ_2.jpg</t>
  </si>
  <si>
    <t>しゅ　腫脹　1807　続名家灸選　平井庸信_ページ_1.jpg</t>
  </si>
  <si>
    <t>しゅ　腫脹　1807　続名家灸選　平井庸信_ページ_2.jpg</t>
  </si>
  <si>
    <t>しゅ　諸腫物　成書年未詳　灸穴集　著者未詳.jpg</t>
  </si>
  <si>
    <t>しゅ　酒さ鼻　1767　鍼灸則　菅沼周桂.jpg</t>
  </si>
  <si>
    <t>しゅ　酒さ鼻（しゅさび）　にきみはな、又、ざくろはな　さ鼻（さび）　1887（明治20）　鍼灸備要　青山道醇_ページ_1.jpg</t>
  </si>
  <si>
    <t>しゅ　酒さ鼻（しゅさび）　にきみはな、又、ざくろはな　さ鼻（さび）　1887（明治20）　鍼灸備要　青山道醇_ページ_2.jpg</t>
  </si>
  <si>
    <t>しゅく　宿食　1679　鍼法奇貨　渡辺東伯_ページ_1.jpg</t>
  </si>
  <si>
    <t>しゅく　宿食　1679　鍼法奇貨　渡辺東伯_ページ_2.jpg</t>
  </si>
  <si>
    <t>しゅく　宿食　1679　鍼法奇貨　渡辺東伯_ページ_3.jpg</t>
  </si>
  <si>
    <t>しゅく　宿食　1679　鍼法奇貨　渡辺東伯_ページ_4.jpg</t>
  </si>
  <si>
    <t>しゅく　宿食　1679　鍼法奇貨　渡辺東伯_ページ_5.jpg</t>
  </si>
  <si>
    <t>しゅく　宿食　1680　鍼灸抜萃　著者未詳.jpg</t>
  </si>
  <si>
    <t>しゅく　宿食　1696　広益鍼灸抜萃　著者未詳.jpg</t>
  </si>
  <si>
    <t>しゅく　宿食　1785　鍼書　本城義軒.jpg</t>
  </si>
  <si>
    <t>しゅく　宿食　1794　杉山流鍼術　島浦和田一_ページ_1.jpg</t>
  </si>
  <si>
    <t>しゅく　宿食　1794　杉山流鍼術　島浦和田一_ページ_2.jpg</t>
  </si>
  <si>
    <t>しゅん　睫毛倒生　さかまつげ　1765　鍼法弁惑　藤井秀孟.jpg</t>
  </si>
  <si>
    <t>しょ　初生雑病　1773　鍼灸手引草　大簡室主人_ページ_1.jpg</t>
  </si>
  <si>
    <t>しょ　初生雑病　1773　鍼灸手引草　大簡室主人_ページ_2.jpg</t>
  </si>
  <si>
    <t>しょ　初生雑病　はじめてうまるる　1718　鍼灸重宝記　本郷正豊.jpg</t>
  </si>
  <si>
    <t>しょ　初生雑病（小児之部）　1792　鍼法要集　源長起_ページ_1.jpg</t>
  </si>
  <si>
    <t>しょ　初生雑病（小児之部）　1792　鍼法要集　源長起_ページ_2.jpg</t>
  </si>
  <si>
    <t>しょ　初生雑病（小児之部）　1792　鍼法要集　源長起_ページ_3.jpg</t>
  </si>
  <si>
    <t>しょ　初生雑病（小児之部）　1792　鍼法要集　源長起_ページ_4.jpg</t>
  </si>
  <si>
    <t>しょ　初生雑病（小児之部）　1792　鍼法要集　源長起_ページ_5.jpg</t>
  </si>
  <si>
    <t>しょ　暑気(あつけ)　1607　扁鵲新流鍼書　越齋寿閑_ページ_1.jpg</t>
  </si>
  <si>
    <t>しょ　暑気(あつけ)　1607　扁鵲新流鍼書　越齋寿閑_ページ_2.jpg</t>
  </si>
  <si>
    <t>しょ　諸病、吐を取らんとするときは刺すべき事　諸病、吐かせたくおもう時　1780　鍼灸極秘伝　木村太沖.jpg</t>
  </si>
  <si>
    <t>しょ　諸発等証　1226　備急灸法　宋・聞人耆年_ページ_1.jpg</t>
  </si>
  <si>
    <t>しょ　諸発等証　1226　備急灸法　宋・聞人耆年_ページ_2.jpg</t>
  </si>
  <si>
    <t>しょう-02　類傷寒　1669　鍼灸枢要　山本玄通_ページ_1.jpg</t>
  </si>
  <si>
    <t>しょう-02　類傷寒　1669　鍼灸枢要　山本玄通_ページ_2.jpg</t>
  </si>
  <si>
    <t>しょう　傷寒　1220　鍼灸資生経　王執中_ページ_1.jpg</t>
  </si>
  <si>
    <t>しょう　傷寒　1220　鍼灸資生経　王執中_ページ_2.jpg</t>
  </si>
  <si>
    <t>しょう　傷寒　1220　鍼灸資生経　王執中_ページ_3.jpg</t>
  </si>
  <si>
    <t>しょう　傷寒　1220　鍼灸資生経　王執中_ページ_4.jpg</t>
  </si>
  <si>
    <t>しょう　傷寒　1329　扁鵲神応鍼灸玉龍経　元・王国瑞_ページ_1.jpg</t>
  </si>
  <si>
    <t>しょう　傷寒　1329　扁鵲神応鍼灸玉龍経　元・王国瑞_ページ_2.jpg</t>
  </si>
  <si>
    <t>しょう　傷寒　1425　神応経　明・陳会撰・劉瑾重校.jpg</t>
  </si>
  <si>
    <t>しょう　傷寒　1607　扁鵲新流鍼書　越齋寿閑.jpg</t>
  </si>
  <si>
    <t>しょう　傷寒　1624　類経図翼　明・張介賓_ページ_1.jpg</t>
  </si>
  <si>
    <t>しょう　傷寒　1624　類経図翼　明・張介賓_ページ_2.jpg</t>
  </si>
  <si>
    <t>しょう　傷寒　1624　類経図翼　明・張介賓_ページ_3.jpg</t>
  </si>
  <si>
    <t>しょう　傷寒　1624　類経図翼　明・張介賓_ページ_4.jpg</t>
  </si>
  <si>
    <t>しょう　傷寒　1669　鍼灸枢要　山本玄通_ページ_01.jpg</t>
  </si>
  <si>
    <t>しょう　傷寒　1669　鍼灸枢要　山本玄通_ページ_02.jpg</t>
  </si>
  <si>
    <t>しょう　傷寒　1669　鍼灸枢要　山本玄通_ページ_03.jpg</t>
  </si>
  <si>
    <t>しょう　傷寒　1669　鍼灸枢要　山本玄通_ページ_04.jpg</t>
  </si>
  <si>
    <t>しょう　傷寒　1669　鍼灸枢要　山本玄通_ページ_05.jpg</t>
  </si>
  <si>
    <t>しょう　傷寒　1669　鍼灸枢要　山本玄通_ページ_06.jpg</t>
  </si>
  <si>
    <t>しょう　傷寒　1669　鍼灸枢要　山本玄通_ページ_07.jpg</t>
  </si>
  <si>
    <t>しょう　傷寒　1669　鍼灸枢要　山本玄通_ページ_08.jpg</t>
  </si>
  <si>
    <t>しょう　傷寒　1669　鍼灸枢要　山本玄通_ページ_09.jpg</t>
  </si>
  <si>
    <t>しょう　傷寒　1669　鍼灸枢要　山本玄通_ページ_10.jpg</t>
  </si>
  <si>
    <t>しょう　傷寒　1669　鍼灸枢要　山本玄通_ページ_11.jpg</t>
  </si>
  <si>
    <t>しょう　傷寒　1669　鍼灸枢要　山本玄通_ページ_12.jpg</t>
  </si>
  <si>
    <t>しょう　傷寒　1669　鍼灸枢要　山本玄通_ページ_13.jpg</t>
  </si>
  <si>
    <t>しょう　傷寒　1669　鍼灸枢要　山本玄通_ページ_14.jpg</t>
  </si>
  <si>
    <t>しょう　傷寒　1669　鍼灸枢要　山本玄通_ページ_15.jpg</t>
  </si>
  <si>
    <t>しょう　傷寒　1679　鍼法奇貨　渡辺東伯_ページ_01.jpg</t>
  </si>
  <si>
    <t>しょう　傷寒　1679　鍼法奇貨　渡辺東伯_ページ_02.jpg</t>
  </si>
  <si>
    <t>しょう　傷寒　1679　鍼法奇貨　渡辺東伯_ページ_03.jpg</t>
  </si>
  <si>
    <t>しょう　傷寒　1679　鍼法奇貨　渡辺東伯_ページ_04.jpg</t>
  </si>
  <si>
    <t>しょう　傷寒　1679　鍼法奇貨　渡辺東伯_ページ_05.jpg</t>
  </si>
  <si>
    <t>しょう　傷寒　1679　鍼法奇貨　渡辺東伯_ページ_06.jpg</t>
  </si>
  <si>
    <t>しょう　傷寒　1679　鍼法奇貨　渡辺東伯_ページ_07.jpg</t>
  </si>
  <si>
    <t>しょう　傷寒　1679　鍼法奇貨　渡辺東伯_ページ_08.jpg</t>
  </si>
  <si>
    <t>しょう　傷寒　1679　鍼法奇貨　渡辺東伯_ページ_09.jpg</t>
  </si>
  <si>
    <t>しょう　傷寒　1679　鍼法奇貨　渡辺東伯_ページ_10.jpg</t>
  </si>
  <si>
    <t>しょう　傷寒　1679　鍼法奇貨　渡辺東伯_ページ_11.jpg</t>
  </si>
  <si>
    <t>しょう　傷寒　1679　鍼法奇貨　渡辺東伯_ページ_12.jpg</t>
  </si>
  <si>
    <t>しょう　傷寒　1680　鍼灸抜萃　著者未詳.jpg</t>
  </si>
  <si>
    <t>しょう　傷寒　1693　鍼灸要歌集　安井昌玄_ページ_1.jpg</t>
  </si>
  <si>
    <t>しょう　傷寒　1693　鍼灸要歌集　安井昌玄_ページ_2.jpg</t>
  </si>
  <si>
    <t>しょう　傷寒　1693　鍼灸要歌集　安井昌玄_ページ_3.jpg</t>
  </si>
  <si>
    <t>しょう　傷寒　1693　鍼灸要歌集　安井昌玄_ページ_4.jpg</t>
  </si>
  <si>
    <t>しょう　傷寒　1693　鍼灸要歌集　安井昌玄_ページ_5.jpg</t>
  </si>
  <si>
    <t>しょう　傷寒　1694　療治之大概集　杉山和一.jpg</t>
  </si>
  <si>
    <t>しょう　傷寒　1694　鍼灸そかい集　高津敬節_ページ_1.jpg</t>
  </si>
  <si>
    <t>しょう　傷寒　1694　鍼灸そかい集　高津敬節_ページ_2.jpg</t>
  </si>
  <si>
    <t>しょう　傷寒　1696　広益鍼灸抜萃　著者未詳_ページ_1.jpg</t>
  </si>
  <si>
    <t>しょう　傷寒　1696　広益鍼灸抜萃　著者未詳_ページ_2.jpg</t>
  </si>
  <si>
    <t>しょう　傷寒　1696　広益鍼灸抜萃　著者未詳_ページ_3.jpg</t>
  </si>
  <si>
    <t>しょう　傷寒　1698　鍼灸抜粋大成　岡本一抱_ページ_1.jpg</t>
  </si>
  <si>
    <t>しょう　傷寒　1698　鍼灸抜粋大成　岡本一抱_ページ_2.jpg</t>
  </si>
  <si>
    <t>しょう　傷寒　1765　鍼法弁惑　藤井秀孟_ページ_1.jpg</t>
  </si>
  <si>
    <t>しょう　傷寒　1765　鍼法弁惑　藤井秀孟_ページ_2.jpg</t>
  </si>
  <si>
    <t>しょう　傷寒　1765　鍼法弁惑　藤井秀孟_ページ_3.jpg</t>
  </si>
  <si>
    <t>しょう　傷寒　1765　鍼法弁惑　藤井秀孟_ページ_4.jpg</t>
  </si>
  <si>
    <t>しょう　傷寒　1765　鍼法弁惑　藤井秀孟_ページ_5.jpg</t>
  </si>
  <si>
    <t>しょう　傷寒　1767　鍼灸則　菅沼周桂.jpg</t>
  </si>
  <si>
    <t>しょう　傷寒　1773　鍼灸手引草　大簡室主人_ページ_1.jpg</t>
  </si>
  <si>
    <t>しょう　傷寒　1773　鍼灸手引草　大簡室主人_ページ_2.jpg</t>
  </si>
  <si>
    <t>しょう　傷寒　1773　鍼灸手引草　大簡室主人_ページ_3.jpg</t>
  </si>
  <si>
    <t>しょう　傷寒　1773　鍼灸手引草　大簡室主人_ページ_4.jpg</t>
  </si>
  <si>
    <t>しょう　傷寒　1773　鍼灸手引草　大簡室主人_ページ_5.jpg</t>
  </si>
  <si>
    <t>しょう　傷寒　1785　鍼書　本城義軒.jpg</t>
  </si>
  <si>
    <t>しょう　傷寒　1792　鍼法要集　源長起_ページ_01.jpg</t>
  </si>
  <si>
    <t>しょう　傷寒　1792　鍼法要集　源長起_ページ_02.jpg</t>
  </si>
  <si>
    <t>しょう　傷寒　1792　鍼法要集　源長起_ページ_03.jpg</t>
  </si>
  <si>
    <t>しょう　傷寒　1792　鍼法要集　源長起_ページ_04.jpg</t>
  </si>
  <si>
    <t>しょう　傷寒　1792　鍼法要集　源長起_ページ_05.jpg</t>
  </si>
  <si>
    <t>しょう　傷寒　1792　鍼法要集　源長起_ページ_06.jpg</t>
  </si>
  <si>
    <t>しょう　傷寒　1792　鍼法要集　源長起_ページ_07.jpg</t>
  </si>
  <si>
    <t>しょう　傷寒　1792　鍼法要集　源長起_ページ_08.jpg</t>
  </si>
  <si>
    <t>しょう　傷寒　1792　鍼法要集　源長起_ページ_09.jpg</t>
  </si>
  <si>
    <t>しょう　傷寒　1792　鍼法要集　源長起_ページ_10.jpg</t>
  </si>
  <si>
    <t>しょう　傷寒　1794　杉山流鍼術　島浦和田一.jpg</t>
  </si>
  <si>
    <t>しょう　傷寒　1813　名家灸選　浅井惟亨.jpg</t>
  </si>
  <si>
    <t>しょう　傷寒　傷風、瘟疫、感冒　1686　鍼灸要法指南　岩田利斎_ページ_1.jpg</t>
  </si>
  <si>
    <t>しょう　傷寒　傷風、瘟疫、感冒　1686　鍼灸要法指南　岩田利斎_ページ_2.jpg</t>
  </si>
  <si>
    <t>しょう　傷寒　傷風、瘟疫、感冒　1686　鍼灸要法指南　岩田利斎_ページ_3.jpg</t>
  </si>
  <si>
    <t>しょう　傷寒　傷風、瘟疫、感冒　1686　鍼灸要法指南　岩田利斎_ページ_4.jpg</t>
  </si>
  <si>
    <t>しょう　傷寒　成書年未詳　経穴図解　著者未詳_ページ_1.jpg</t>
  </si>
  <si>
    <t>しょう　傷寒　成書年未詳　経穴図解　著者未詳_ページ_2.jpg</t>
  </si>
  <si>
    <t>しょう　傷寒　熱病　0300　●六経受病発傷寒熱病　第一上　鍼灸甲乙経　皇甫謐_ページ_1.jpg</t>
  </si>
  <si>
    <t>しょう　傷寒　熱病　0300　●六経受病発傷寒熱病　第一上　鍼灸甲乙経　皇甫謐_ページ_2.jpg</t>
  </si>
  <si>
    <t>しょう　傷寒　熱病　0300　●六経受病発傷寒熱病　第一上　鍼灸甲乙経　皇甫謐_ページ_3.jpg</t>
  </si>
  <si>
    <t>しょう　傷寒　熱病　0300　●六経受病発傷寒熱病　第一上　鍼灸甲乙経　皇甫謐_ページ_4.jpg</t>
  </si>
  <si>
    <t>しょう　傷寒　熱病　0300　●六経受病発傷寒熱病　第一上　鍼灸甲乙経　皇甫謐_ページ_5.jpg</t>
  </si>
  <si>
    <t>しょう　傷寒　熱病　0300　●六経受病発傷寒熱病　第一下　鍼灸甲乙経　皇甫謐_ページ_1.jpg</t>
  </si>
  <si>
    <t>しょう　傷寒　熱病　0300　●六経受病発傷寒熱病　第一下　鍼灸甲乙経　皇甫謐_ページ_2.jpg</t>
  </si>
  <si>
    <t>しょう　傷寒　熱病　0300　●六経受病発傷寒熱病　第一下　鍼灸甲乙経　皇甫謐_ページ_3.jpg</t>
  </si>
  <si>
    <t>しょう　傷寒　熱病　0300　●六経受病発傷寒熱病　第一下　鍼灸甲乙経　皇甫謐_ページ_4.jpg</t>
  </si>
  <si>
    <t>しょう　傷寒　熱病　0300　●六経受病発傷寒熱病　第一下　鍼灸甲乙経　皇甫謐_ページ_5.jpg</t>
  </si>
  <si>
    <t>しょう　傷寒　熱病　0300　●六経受病発病寒熱病　第一中　鍼灸甲乙経　皇甫謐_ページ_1.jpg</t>
  </si>
  <si>
    <t>しょう　傷寒　熱病　0300　●六経受病発病寒熱病　第一中　鍼灸甲乙経　皇甫謐_ページ_2.jpg</t>
  </si>
  <si>
    <t>しょう　傷寒　熱病　0300　●六経受病発病寒熱病　第一中　鍼灸甲乙経　皇甫謐_ページ_3.jpg</t>
  </si>
  <si>
    <t>しょう　傷寒　熱病　0300　●六経受病発病寒熱病　第一中　鍼灸甲乙経　皇甫謐_ページ_4.jpg</t>
  </si>
  <si>
    <t>しょう　傷寒　熱病　0300　●六経受病発病寒熱病　第一中　鍼灸甲乙経　皇甫謐_ページ_5.jpg</t>
  </si>
  <si>
    <t>しょう　傷寒　熱病　0300　●六経受病発病寒熱病　第一中　鍼灸甲乙経　皇甫謐_ページ_6.jpg</t>
  </si>
  <si>
    <t>しょう　傷寒　熱病　0300　●六経受病発病寒熱病　第一中　鍼灸甲乙経　皇甫謐_ページ_7.jpg</t>
  </si>
  <si>
    <t>しょう　傷寒　玉機微義針灸証治　1537　鍼灸聚英　明・高武_ページ_1.jpg</t>
  </si>
  <si>
    <t>しょう　傷寒　玉機微義針灸証治　1537　鍼灸聚英　明・高武_ページ_2.jpg</t>
  </si>
  <si>
    <t>しょう　傷寒　玉機微義針灸証治　1537　鍼灸聚英　明・高武_ページ_3.jpg</t>
  </si>
  <si>
    <t>しょう　傷寒交汗不出　1315　鍼経摘英集　元・杜思敬「済生抜粋方」_ページ_1.jpg</t>
  </si>
  <si>
    <t>しょう　傷寒交汗不出　1315　鍼経摘英集　元・杜思敬「済生抜粋方」_ページ_2.jpg</t>
  </si>
  <si>
    <t>しょう　傷寒嘔えつ（諸えつ）　1220　鍼灸資生経　王執中.jpg</t>
  </si>
  <si>
    <t>しょう　傷寒四肢熱不已　1315　鍼経摘英集　元・杜思敬「済生抜粋方」_ページ_1.jpg</t>
  </si>
  <si>
    <t>しょう　傷寒四肢熱不已　1315　鍼経摘英集　元・杜思敬「済生抜粋方」_ページ_2.jpg</t>
  </si>
  <si>
    <t>しょう　傷寒在表，発熱悪寒，頭項痛，腰脊強，無汗，尺寸脈倶浮　1315　鍼経摘英集　元・杜思敬「済生抜粋方」.jpg</t>
  </si>
  <si>
    <t>しょう　傷寒寒熱　1220　鍼灸資生経　王執中_ページ_1.jpg</t>
  </si>
  <si>
    <t>しょう　傷寒寒熱　1220　鍼灸資生経　王執中_ページ_2.jpg</t>
  </si>
  <si>
    <t>しょう　傷寒并熱病　ひへにやぶらるる　1718　鍼灸重宝記　本郷正豊_ページ_1.jpg</t>
  </si>
  <si>
    <t>しょう　傷寒并熱病　ひへにやぶらるる　1718　鍼灸重宝記　本郷正豊_ページ_2.jpg</t>
  </si>
  <si>
    <t>しょう　傷寒手足逆冷　1315　鍼経摘英集　元・杜思敬「済生抜粋方」.jpg</t>
  </si>
  <si>
    <t>しょう　傷寒無汗　1220　鍼灸資生経　王執中_ページ_1.jpg</t>
  </si>
  <si>
    <t>しょう　傷寒無汗　1220　鍼灸資生経　王執中_ページ_2.jpg</t>
  </si>
  <si>
    <t>しょう　傷寒結胸者　1315　鍼経摘英集　元・杜思敬「済生抜粋方」.jpg</t>
  </si>
  <si>
    <t>しょう　傷寒胃中熱不已　1315　鍼経摘英集　元・杜思敬「済生抜粋方」.jpg</t>
  </si>
  <si>
    <t>しょう　傷寒胸中熱不已　1315　鍼経摘英集　元・杜思敬「済生抜粋方」.jpg</t>
  </si>
  <si>
    <t>しょう　傷寒過経　1329　扁鵲神応鍼灸玉龍経　元・王国瑞.jpg</t>
  </si>
  <si>
    <t>しょう　傷寒過経不解　1315　鍼経摘英集　元・杜思敬「済生抜粋方」.jpg</t>
  </si>
  <si>
    <t>しょう　傷寒頭疼身熱　1694　選鍼三要集　杉山和一.jpg</t>
  </si>
  <si>
    <t>しょう　傷寒頭痛身熱　1761　挨穴捷径　杉原敦_ページ_1.jpg</t>
  </si>
  <si>
    <t>しょう　傷寒頭痛身熱　1761　挨穴捷径　杉原敦_ページ_2.jpg</t>
  </si>
  <si>
    <t>しょう　傷寒頭痛身熱　1761　挨穴捷径　杉原敦_ページ_3.jpg</t>
  </si>
  <si>
    <t>しょう　傷寒頭痛（余見頭痛）　1220　鍼灸資生経　王執中.jpg</t>
  </si>
  <si>
    <t>しょう　傷寒飲水過多，腹脹気喘，心下痛不可忍　1315　鍼経摘英集　元・杜思敬「済生抜粋方」.jpg</t>
  </si>
  <si>
    <t>しょう　傷寒（しやうかん）　ねつのあるやまい　熱病　1887（明治20）　鍼灸備要　青山道醇_ページ_1.jpg</t>
  </si>
  <si>
    <t>しょう　傷寒（しやうかん）　ねつのあるやまい　熱病　1887（明治20）　鍼灸備要　青山道醇_ページ_2.jpg</t>
  </si>
  <si>
    <t>しょう　傷暑　1785　鍼書　本城義軒_ページ_1.jpg</t>
  </si>
  <si>
    <t>しょう　傷暑　1785　鍼書　本城義軒_ページ_2.jpg</t>
  </si>
  <si>
    <t>しょう　傷風　1329　扁鵲神応鍼灸玉龍経　元・王国瑞_ページ_1.jpg</t>
  </si>
  <si>
    <t>しょう　傷風　1329　扁鵲神応鍼灸玉龍経　元・王国瑞_ページ_2.jpg</t>
  </si>
  <si>
    <t>しょう　傷食　1686　鍼灸要法指南　岩田利斎.jpg</t>
  </si>
  <si>
    <t>しょう　傷食　1718　しょくだたり　鍼灸重宝記　本郷正豊.jpg</t>
  </si>
  <si>
    <t>しょう　傷食　1767　鍼灸則　菅沼周桂_ページ_1.jpg</t>
  </si>
  <si>
    <t>しょう　傷食　1767　鍼灸則　菅沼周桂_ページ_2.jpg</t>
  </si>
  <si>
    <t>しょう　傷食　1800　鍼灸備要　小坂元祐_ページ_1.jpg</t>
  </si>
  <si>
    <t>しょう　傷食　1800　鍼灸備要　小坂元祐_ページ_2.jpg</t>
  </si>
  <si>
    <t>しょう　傷飲　傷食　1669　鍼灸枢要　山本玄通_ページ_1.jpg</t>
  </si>
  <si>
    <t>しょう　傷飲　傷食　1669　鍼灸枢要　山本玄通_ページ_2.jpg</t>
  </si>
  <si>
    <t>しょう　傷飲　傷食　1669　鍼灸枢要　山本玄通_ページ_3.jpg</t>
  </si>
  <si>
    <t>しょう　小便不利　1537　鍼灸聚英　明・高武.jpg</t>
  </si>
  <si>
    <t>しょう　小便不利　1694　選鍼三要集　杉山和一.jpg</t>
  </si>
  <si>
    <t>しょう　小便不利不通　1624　類経図翼　明・張介賓.jpg</t>
  </si>
  <si>
    <t>しょう　小便不禁　1694　選鍼三要集　杉山和一.jpg</t>
  </si>
  <si>
    <t>しょう　小便不禁　小便にくくりのなくなる病　膀胱括約筋麻痺　1887（明治20）　鍼灸備要　青山道醇.jpg</t>
  </si>
  <si>
    <t>しょう　小便不禁（遺尿附）　1220　鍼灸資生経　王執中.jpg</t>
  </si>
  <si>
    <t>しょう　小便不通　1594　経脈方寸秘書　曲直瀬道三_ページ_1.jpg</t>
  </si>
  <si>
    <t>しょう　小便不通　1594　経脈方寸秘書　曲直瀬道三_ページ_2.jpg</t>
  </si>
  <si>
    <t>しょう　小便不通　1679　鍼法奇貨　渡辺東伯_ページ_1.jpg</t>
  </si>
  <si>
    <t>しょう　小便不通　1679　鍼法奇貨　渡辺東伯_ページ_2.jpg</t>
  </si>
  <si>
    <t>しょう　小便不通　1679　鍼法奇貨　渡辺東伯_ページ_3.jpg</t>
  </si>
  <si>
    <t>しょう　小便不通　1693　鍼灸要歌集　安井昌玄.jpg</t>
  </si>
  <si>
    <t>しょう　小便不通　1785　鍼書　本城義軒_ページ_1.jpg</t>
  </si>
  <si>
    <t>しょう　小便不通　1785　鍼書　本城義軒_ページ_2.jpg</t>
  </si>
  <si>
    <t>しょう　小便不通　小便つまり　尿閉　1887（明治20）　鍼灸備要　青山道醇_ページ_1.jpg</t>
  </si>
  <si>
    <t>しょう　小便不通　小便つまり　尿閉　1887（明治20）　鍼灸備要　青山道醇_ページ_2.jpg</t>
  </si>
  <si>
    <t>しょう　小便五色　1220　鍼灸資生経　王執中_ページ_1.jpg</t>
  </si>
  <si>
    <t>しょう　小便五色　1220　鍼灸資生経　王執中_ページ_2.jpg</t>
  </si>
  <si>
    <t>しょう　小便急閉　1800　岡田流鍼術書　岡田見龍_ページ_1.jpg</t>
  </si>
  <si>
    <t>しょう　小便急閉　1800　岡田流鍼術書　岡田見龍_ページ_2.jpg</t>
  </si>
  <si>
    <t>しょう　小便渋　1574　兪穴参伍的法　秦宗巴.jpg</t>
  </si>
  <si>
    <t>しょう　小便諸症　1669　鍼灸枢要　山本玄通_ページ_01.jpg</t>
  </si>
  <si>
    <t>しょう　小便諸症　1669　鍼灸枢要　山本玄通_ページ_02.jpg</t>
  </si>
  <si>
    <t>しょう　小便諸症　1669　鍼灸枢要　山本玄通_ページ_03.jpg</t>
  </si>
  <si>
    <t>しょう　小便諸症　1669　鍼灸枢要　山本玄通_ページ_04.jpg</t>
  </si>
  <si>
    <t>しょう　小便諸症　1669　鍼灸枢要　山本玄通_ページ_05.jpg</t>
  </si>
  <si>
    <t>しょう　小便諸症　1669　鍼灸枢要　山本玄通_ページ_06.jpg</t>
  </si>
  <si>
    <t>しょう　小便諸症　1669　鍼灸枢要　山本玄通_ページ_07.jpg</t>
  </si>
  <si>
    <t>しょう　小便諸症　1669　鍼灸枢要　山本玄通_ページ_08.jpg</t>
  </si>
  <si>
    <t>しょう　小便諸症　1669　鍼灸枢要　山本玄通_ページ_09.jpg</t>
  </si>
  <si>
    <t>しょう　小便諸症　1669　鍼灸枢要　山本玄通_ページ_10.jpg</t>
  </si>
  <si>
    <t>しょう　小便諸症　1800　鍼灸備要　小坂元祐_ページ_1.jpg</t>
  </si>
  <si>
    <t>しょう　小便諸症　1800　鍼灸備要　小坂元祐_ページ_2.jpg</t>
  </si>
  <si>
    <t>しょう　小便閉　1693　鍼灸要歌集　安井昌玄.jpg</t>
  </si>
  <si>
    <t>しょう　小便閉　1693　鍼灸要歌集　安井昌玄_ページ_1.jpg</t>
  </si>
  <si>
    <t>しょう　小便閉　1693　鍼灸要歌集　安井昌玄_ページ_2.jpg</t>
  </si>
  <si>
    <t>しょう　小便閉　1767　鍼灸則　菅沼周桂.jpg</t>
  </si>
  <si>
    <t>しょう　小便閉　りゅう　1686　鍼灸要法指南　岩田利斎_ページ_1.jpg</t>
  </si>
  <si>
    <t>しょう　小便閉　りゅう　1686　鍼灸要法指南　岩田利斎_ページ_2.jpg</t>
  </si>
  <si>
    <t>しょう　小便閉じて悶絶する者　小便つまりの人　1780　鍼灸極秘伝　木村太沖.jpg</t>
  </si>
  <si>
    <t>しょう　小便難　1220　鍼灸資生経　王執中_ページ_1.jpg</t>
  </si>
  <si>
    <t>しょう　小便難　1220　鍼灸資生経　王執中_ページ_2.jpg</t>
  </si>
  <si>
    <t>しょう　小便頓閉　1765　鍼法弁惑　藤井秀孟.jpg</t>
  </si>
  <si>
    <t>しょう　小児　0300　●小児雑病　第十一　鍼灸甲乙経　皇甫謐_ページ_1.jpg</t>
  </si>
  <si>
    <t>しょう　小児　0300　●小児雑病　第十一　鍼灸甲乙経　皇甫謐_ページ_2.jpg</t>
  </si>
  <si>
    <t>しょう　小児　1680　鍼灸抜萃　著者未詳-02.jpg</t>
  </si>
  <si>
    <t>しょう　小児　1680　鍼灸抜萃　著者未詳.jpg</t>
  </si>
  <si>
    <t>しょう　小児　1696　広益鍼灸抜萃　著者未詳_ページ_1.jpg</t>
  </si>
  <si>
    <t>しょう　小児　1696　広益鍼灸抜萃　著者未詳_ページ_2.jpg</t>
  </si>
  <si>
    <t>しょう　小児　1696　広益鍼灸抜萃　著者未詳_ページ_3.jpg</t>
  </si>
  <si>
    <t>しょう　小児　1696　広益鍼灸抜萃　著者未詳_ページ_4.jpg</t>
  </si>
  <si>
    <t>しょう　小児　1696　広益鍼灸抜萃　著者未詳_ページ_5.jpg</t>
  </si>
  <si>
    <t>しょう　小児　1698　鍼灸抜粋大成　岡本一抱.jpg</t>
  </si>
  <si>
    <t>しょう　小児　1785　鍼書　本城義軒.jpg</t>
  </si>
  <si>
    <t>しょう　小児　1800　鍼灸備要　小坂元祐_ページ_1.jpg</t>
  </si>
  <si>
    <t>しょう　小児　1800　鍼灸備要　小坂元祐_ページ_2.jpg</t>
  </si>
  <si>
    <t>しょう　小児　1800　鍼灸備要　小坂元祐_ページ_3.jpg</t>
  </si>
  <si>
    <t>しょう　小児　1813　名家灸選　浅井惟亨.jpg</t>
  </si>
  <si>
    <t>しょう　小児　玉機微義針灸証治　1537　鍼灸聚英　明・高武_ページ_1.jpg</t>
  </si>
  <si>
    <t>しょう　小児　玉機微義針灸証治　1537　鍼灸聚英　明・高武_ページ_2.jpg</t>
  </si>
  <si>
    <t>しょう　小児　玉機微義針灸証治　1537　鍼灸聚英　明・高武_ページ_3.jpg</t>
  </si>
  <si>
    <t>しょう　小児けいしょう（けいしょう）　そりかへる　角弓反張　1887（明治20）　鍼灸備要　青山道醇.jpg</t>
  </si>
  <si>
    <t>しょう　小児しん開て不合　小児雀目　小児乳癖　1594　経脈方寸秘書　曲直瀬道三.jpg</t>
  </si>
  <si>
    <t>しょう　小児の科　ちごのりやうじ　1718　鍼灸重宝記　本郷正豊.jpg</t>
  </si>
  <si>
    <t>しょう　小児の脉法　1718　鍼灸重宝記　本郷正豊_ページ_1.jpg</t>
  </si>
  <si>
    <t>しょう　小児の脉法　1718　鍼灸重宝記　本郷正豊_ページ_2.jpg</t>
  </si>
  <si>
    <t>しょう　小児吐乳　1912年（大正01）　鍼灸手引草　久木田七郎.jpg</t>
  </si>
  <si>
    <t>しょう　小児夜啼（やてい）　よなき　1887（明治20）　鍼灸備要　青山道醇.jpg</t>
  </si>
  <si>
    <t>しょう　小児悪瘡入眼者　成書年未詳　灸穴集　著者未詳.jpg</t>
  </si>
  <si>
    <t>しょう　小児新生禁　1693　鍼灸要歌集　安井昌玄.jpg</t>
  </si>
  <si>
    <t>しょう　小児死する者の見様の事　1694　療治之大概集　杉山和一.jpg</t>
  </si>
  <si>
    <t>しょう　小児瀉泄　くだりはら　腸加多児（カタル）　1887（明治20）　鍼灸備要　青山道醇.jpg</t>
  </si>
  <si>
    <t>しょう　小児灸法要穴并鍼之要穴　1693　鍼灸要歌集　安井昌玄.jpg</t>
  </si>
  <si>
    <t>しょう　小児疳痩　1563　鍼灸集要　曲直瀬道三.jpg</t>
  </si>
  <si>
    <t>しょう　小児病　0650　千金方　孫思ばく_ページ_1.jpg</t>
  </si>
  <si>
    <t>しょう　小児病　0650　千金方　孫思ばく_ページ_2.jpg</t>
  </si>
  <si>
    <t>しょう　小児病　1624　類経図翼　明・張介賓_ページ_1.jpg</t>
  </si>
  <si>
    <t>しょう　小児病　1624　類経図翼　明・張介賓_ページ_2.jpg</t>
  </si>
  <si>
    <t>しょう　小児病　1624　類経図翼　明・張介賓_ページ_3.jpg</t>
  </si>
  <si>
    <t>しょう　小児病　1624　類経図翼　明・張介賓_ページ_4.jpg</t>
  </si>
  <si>
    <t>しょう　小児病　1624　類経図翼　明・張介賓_ページ_5.jpg</t>
  </si>
  <si>
    <t>しょう　小児病　1624　類経図翼　明・張介賓_ページ_6.jpg</t>
  </si>
  <si>
    <t>しょう　小児病　1624　類経図翼　明・張介賓_ページ_7.jpg</t>
  </si>
  <si>
    <t>しょう　小児病　1624　類経図翼　明・張介賓_ページ_8.jpg</t>
  </si>
  <si>
    <t>しょう　小児病　1761　挨穴捷径　杉原敦_ページ_1.jpg</t>
  </si>
  <si>
    <t>しょう　小児病　1761　挨穴捷径　杉原敦_ページ_2.jpg</t>
  </si>
  <si>
    <t>しょう　小児病　1761　挨穴捷径　杉原敦_ページ_3.jpg</t>
  </si>
  <si>
    <t>しょう　小児病　1761　挨穴捷径　杉原敦_ページ_4.jpg</t>
  </si>
  <si>
    <t>しょう　小児病　1761　挨穴捷径　杉原敦_ページ_5.jpg</t>
  </si>
  <si>
    <t>しょう　小児癖気　1594　鍼灸集要　曲直瀬道三_ページ_1.jpg</t>
  </si>
  <si>
    <t>しょう　小児癖気　1594　鍼灸集要　曲直瀬道三_ページ_2.jpg</t>
  </si>
  <si>
    <t>しょう　小児癲癇　1594　鍼灸集要　曲直瀬道三.jpg</t>
  </si>
  <si>
    <t>しょう　小児科　1773　鍼灸手引草　大簡室主人_ページ_1.jpg</t>
  </si>
  <si>
    <t>しょう　小児科　1773　鍼灸手引草　大簡室主人_ページ_2.jpg</t>
  </si>
  <si>
    <t>しょう　小児科　1773　鍼灸手引草　大簡室主人_ページ_3.jpg</t>
  </si>
  <si>
    <t>しょう　小児科　1773　鍼灸手引草　大簡室主人_ページ_4.jpg</t>
  </si>
  <si>
    <t>しょう　小児科　1773　鍼灸手引草　大簡室主人_ページ_5.jpg</t>
  </si>
  <si>
    <t>しょう　小児科　1773　鍼灸手引草　大簡室主人_ページ_6.jpg</t>
  </si>
  <si>
    <t>しょう　小児科　1773　鍼灸手引草　大簡室主人_ページ_7.jpg</t>
  </si>
  <si>
    <t>しょう　小児科　1773　鍼灸手引草　大簡室主人_ページ_8.jpg</t>
  </si>
  <si>
    <t>しょう　小児科　1773　鍼灸手引草　大簡室主人_ページ_9.jpg</t>
  </si>
  <si>
    <t>しょう　小児脱肛　しりいつるやまひ　直腸脱　1887（明治20）　鍼灸備要　青山道醇.jpg</t>
  </si>
  <si>
    <t>しょう　小児蛔虫及肝癖　1800　岡田流鍼術書　岡田見龍_ページ_1.jpg</t>
  </si>
  <si>
    <t>しょう　小児蛔虫及肝癖　1800　岡田流鍼術書　岡田見龍_ページ_2.jpg</t>
  </si>
  <si>
    <t>しょう　小児諸証　1574　兪穴参伍的法　秦宗巴_ページ_1.jpg</t>
  </si>
  <si>
    <t>しょう　小児諸証　1574　兪穴参伍的法　秦宗巴_ページ_2.jpg</t>
  </si>
  <si>
    <t>しょう　小児遺尿　ねしやうべん　遺尿　1887（明治20）　鍼灸備要　青山道醇.jpg</t>
  </si>
  <si>
    <t>しょう　小児部　1425　神応経　明・陳会撰・劉瑾重校_ページ_1.jpg</t>
  </si>
  <si>
    <t>しょう　小児部　1425　神応経　明・陳会撰・劉瑾重校_ページ_2.jpg</t>
  </si>
  <si>
    <t>しょう　小児部　1425　神応経　明・陳会撰・劉瑾重校_ページ_3.jpg</t>
  </si>
  <si>
    <t>しょう　小児門　幼き児の病を聚め書くなり　1694　療治之大概集　杉山和一.jpg</t>
  </si>
  <si>
    <t>しょう　小児雑病　1698　鍼灸抜粋大成　岡本一抱.jpg</t>
  </si>
  <si>
    <t>しょう　小児雑症　1807　続名家灸選　平井庸信_ページ_1.jpg</t>
  </si>
  <si>
    <t>しょう　小児雑症　1807　続名家灸選　平井庸信_ページ_2.jpg</t>
  </si>
  <si>
    <t>しょう　小児雑症　1807　続名家灸選　平井庸信_ページ_3.jpg</t>
  </si>
  <si>
    <t>しょう　小児雑症　1813　名家灸選三編　平井庸信_ページ_1.jpg</t>
  </si>
  <si>
    <t>しょう　小児雑症　1813　名家灸選三編　平井庸信_ページ_2.jpg</t>
  </si>
  <si>
    <t>しょう　小児雑症　1813　名家灸選三編　平井庸信_ページ_3.jpg</t>
  </si>
  <si>
    <t>しょう　小児雑症　1813　名家灸選三編　平井庸信_ページ_4.jpg</t>
  </si>
  <si>
    <t>しょう　小水不禁　1537　鍼灸聚英　明・高武.jpg</t>
  </si>
  <si>
    <t>しょう　小水不禁　1563　鍼灸集要　曲直瀬道三.jpg</t>
  </si>
  <si>
    <t>しょう　小産　1686　鍼灸要法指南　岩田利斎.jpg</t>
  </si>
  <si>
    <t>しょう　小産　1693　鍼灸要歌集　安井昌玄_ページ_1.jpg</t>
  </si>
  <si>
    <t>しょう　小産　1693　鍼灸要歌集　安井昌玄_ページ_2.jpg</t>
  </si>
  <si>
    <t>しょう　小腸気　1226　備急灸法　宋・聞人耆年.jpg</t>
  </si>
  <si>
    <t>しょう　小腸気　1315　鍼経摘英集　元・杜思敬「済生抜粋方」_ページ_1.jpg</t>
  </si>
  <si>
    <t>しょう　小腸気　1315　鍼経摘英集　元・杜思敬「済生抜粋方」_ページ_2.jpg</t>
  </si>
  <si>
    <t>しょう　小腸疝気連腹痛　1329　扁鵲神応鍼灸玉龍経　元・王国瑞.jpg</t>
  </si>
  <si>
    <t>しょう　小腹満　1537　鍼灸聚英　明・高武.jpg</t>
  </si>
  <si>
    <t>しょう　小腹疼痛不可忍者　1315　鍼経摘英集　元・杜思敬「済生抜粋方」.jpg</t>
  </si>
  <si>
    <t>しょう　小腹痛　1220　鍼灸資生経　王執中_ページ_1.jpg</t>
  </si>
  <si>
    <t>しょう　小腹痛　1220　鍼灸資生経　王執中_ページ_2.jpg</t>
  </si>
  <si>
    <t>しょう　小腹痛及小腹脹満　1912年（大正01）　鍼灸手引草　久木田七郎.jpg</t>
  </si>
  <si>
    <t>しょう　小腹脹満　1220　鍼灸資生経　王執中.jpg</t>
  </si>
  <si>
    <t>しょう　少気　1220　鍼灸資生経　王執中_ページ_1.jpg</t>
  </si>
  <si>
    <t>しょう　少気　1220　鍼灸資生経　王執中_ページ_2.jpg</t>
  </si>
  <si>
    <t>しょう　少腹腫不得小便　0300　●三焦膀胱受病発少腹腫不得小便　第九　鍼灸甲乙経　皇甫謐_ページ_1.jpg</t>
  </si>
  <si>
    <t>しょう　少腹腫不得小便　0300　●三焦膀胱受病発少腹腫不得小便　第九　鍼灸甲乙経　皇甫謐_ページ_2.jpg</t>
  </si>
  <si>
    <t>しょう　消渇　0650　千金方　孫思ばく.jpg</t>
  </si>
  <si>
    <t>しょう　消渇　1220　鍼灸資生経　王執中_ページ_1.jpg</t>
  </si>
  <si>
    <t>しょう　消渇　1220　鍼灸資生経　王執中_ページ_2.jpg</t>
  </si>
  <si>
    <t>しょう　消渇　1563　鍼灸集要　曲直瀬道三.jpg</t>
  </si>
  <si>
    <t>しょう　消渇　1607　扁鵲新流鍼書　越齋寿閑_ページ_1.jpg</t>
  </si>
  <si>
    <t>しょう　消渇　1607　扁鵲新流鍼書　越齋寿閑_ページ_2.jpg</t>
  </si>
  <si>
    <t>しょう　消渇　1624　類経図翼　明・張介賓.jpg</t>
  </si>
  <si>
    <t>しょう　消渇　1669　鍼灸枢要　山本玄通_ページ_1.jpg</t>
  </si>
  <si>
    <t>しょう　消渇　1669　鍼灸枢要　山本玄通_ページ_2.jpg</t>
  </si>
  <si>
    <t>しょう　消渇　1669　鍼灸枢要　山本玄通_ページ_3.jpg</t>
  </si>
  <si>
    <t>しょう　消渇　1669　鍼灸枢要　山本玄通_ページ_4.jpg</t>
  </si>
  <si>
    <t>しょう　消渇　1669　鍼灸枢要　山本玄通_ページ_5.jpg</t>
  </si>
  <si>
    <t>しょう　消渇　1669　鍼灸枢要　山本玄通_ページ_6.jpg</t>
  </si>
  <si>
    <t>しょう　消渇　1680　鍼灸抜萃　著者未詳.jpg</t>
  </si>
  <si>
    <t>しょう　消渇　1686　鍼灸要法指南　岩田利斎.jpg</t>
  </si>
  <si>
    <t>しょう　消渇　1693　鍼灸要歌集　安井昌玄.jpg</t>
  </si>
  <si>
    <t>しょう　消渇　1694　選鍼三要集　杉山和一.jpg</t>
  </si>
  <si>
    <t>しょう　消渇　1694　鍼灸そかい集　高津敬節_ページ_1.jpg</t>
  </si>
  <si>
    <t>しょう　消渇　1694　鍼灸そかい集　高津敬節_ページ_2.jpg</t>
  </si>
  <si>
    <t>しょう　消渇　1696　広益鍼灸抜萃　著者未詳_ページ_1.jpg</t>
  </si>
  <si>
    <t>しょう　消渇　1696　広益鍼灸抜萃　著者未詳_ページ_2.jpg</t>
  </si>
  <si>
    <t>しょう　消渇　1698　鍼灸抜粋大成　岡本一抱_ページ_1.jpg</t>
  </si>
  <si>
    <t>しょう　消渇　1698　鍼灸抜粋大成　岡本一抱_ページ_2.jpg</t>
  </si>
  <si>
    <t>しょう　消渇　1761　挨穴捷径　杉原敦.jpg</t>
  </si>
  <si>
    <t>しょう　消渇　1767　鍼灸則　菅沼周桂.jpg</t>
  </si>
  <si>
    <t>しょう　消渇　1773　鍼灸手引草　大簡室主人_ページ_1.jpg</t>
  </si>
  <si>
    <t>しょう　消渇　1773　鍼灸手引草　大簡室主人_ページ_2.jpg</t>
  </si>
  <si>
    <t>しょう　消渇　1792　鍼法要集　源長起_ページ_1.jpg</t>
  </si>
  <si>
    <t>しょう　消渇　1792　鍼法要集　源長起_ページ_2.jpg</t>
  </si>
  <si>
    <t>しょう　消渇　1912年（大正01）　鍼灸手引草　久木田七郎.jpg</t>
  </si>
  <si>
    <t>しょう　消渇　かはきのやまひ　1718　鍼灸重宝記　本郷正豊.jpg</t>
  </si>
  <si>
    <t>しょう　消渇　かわきの病の事　1694　療治之大概集　杉山和一.jpg</t>
  </si>
  <si>
    <t>しょう　消渇　成書年未詳　灸穴集　著者未詳_ページ_1.jpg</t>
  </si>
  <si>
    <t>しょう　消渇　成書年未詳　灸穴集　著者未詳_ページ_2.jpg</t>
  </si>
  <si>
    <t>しょう　消渇　成書年未詳　灸穴集　著者未詳_ページ_3.jpg</t>
  </si>
  <si>
    <t>しょう　消渇　成書年未詳　灸穴集　著者未詳_ページ_4.jpg</t>
  </si>
  <si>
    <t>しょう　消渇病　1574　兪穴参伍的法　秦宗巴.jpg</t>
  </si>
  <si>
    <t>しょう　消渇黄痺　0300　●五気溢発消渇黄痺　第六　鍼灸甲乙経　皇甫謐_ページ_1.jpg</t>
  </si>
  <si>
    <t>しょう　消渇黄痺　0300　●五気溢発消渇黄痺　第六　鍼灸甲乙経　皇甫謐_ページ_2.jpg</t>
  </si>
  <si>
    <t>しょう　消渇黄痺　0300　●五気溢発消渇黄痺　第六　鍼灸甲乙経　皇甫謐_ページ_3.jpg</t>
  </si>
  <si>
    <t>しょう　秘訣并小便不利　成書年未詳　灸穴集　著者未詳_ページ_1.jpg</t>
  </si>
  <si>
    <t>しょう　秘訣并小便不利　成書年未詳　灸穴集　著者未詳_ページ_2.jpg</t>
  </si>
  <si>
    <t>しょう　秘訣并小便不利　成書年未詳　灸穴集　著者未詳_ページ_3.jpg</t>
  </si>
  <si>
    <t>しょう　秘訣并小便不利　成書年未詳　灸穴集　著者未詳_ページ_4.jpg</t>
  </si>
  <si>
    <t>しょう　秘訣并小便不利　成書年未詳　灸穴集　著者未詳_ページ_5.jpg</t>
  </si>
  <si>
    <t>しょう　秘訣并小便不利　成書年未詳　灸穴集　著者未詳_ページ_6.jpg</t>
  </si>
  <si>
    <t>しょう　秘訣并小便不利　成書年未詳　灸穴集　著者未詳_ページ_7.jpg</t>
  </si>
  <si>
    <t>しょく　宿食論并に食傷治法　1693　鍼灸要歌集　安井昌玄_ページ_1.jpg</t>
  </si>
  <si>
    <t>しょく　宿食論并に食傷治法　1693　鍼灸要歌集　安井昌玄_ページ_2.jpg</t>
  </si>
  <si>
    <t>しょく　食不下（不化）　1220　鍼灸資生経　王執中_ページ_1.jpg</t>
  </si>
  <si>
    <t>しょく　食不下（不化）　1220　鍼灸資生経　王執中_ページ_2.jpg</t>
  </si>
  <si>
    <t>しょく　食傷　1686　鍼灸要法指南　岩田利斎.jpg</t>
  </si>
  <si>
    <t>しょく　食傷　1693　鍼灸要歌集　安井昌玄.jpg</t>
  </si>
  <si>
    <t>しょく　食傷　1780　しょくあたり　鍼灸極秘伝　木村太沖.jpg</t>
  </si>
  <si>
    <t>しょく　食傷　1792　鍼法要集　源長起_ページ_1.jpg</t>
  </si>
  <si>
    <t>しょく　食傷　1792　鍼法要集　源長起_ページ_2.jpg</t>
  </si>
  <si>
    <t>しょく　食傷　1792　鍼法要集　源長起_ページ_3.jpg</t>
  </si>
  <si>
    <t>しょく　食傷　しよくあたり　急性胃加多児（カタル）　1887（明治20）　鍼灸備要　青山道醇.jpg</t>
  </si>
  <si>
    <t>しょく　食多　1220　鍼灸資生経　王執中.jpg</t>
  </si>
  <si>
    <t>しょく　食気不進　1912年（大正01）　鍼灸手引草　久木田七郎.jpg</t>
  </si>
  <si>
    <t>しょく　食気（無味）　1220　鍼灸資生経　王執中_ページ_1.jpg</t>
  </si>
  <si>
    <t>しょく　食気（無味）　1220　鍼灸資生経　王執中_ページ_2.jpg</t>
  </si>
  <si>
    <t>しり　尻　1669　鍼灸枢要　山本玄通.jpg</t>
  </si>
  <si>
    <t>しり　尻　1800　鍼灸備要　小坂元祐.jpg</t>
  </si>
  <si>
    <t>しん　しん門不合　1686　鍼灸要法指南　岩田利斎.jpg</t>
  </si>
  <si>
    <t>しん　しん門不合　1693　鍼灸要歌集　安井昌玄.jpg</t>
  </si>
  <si>
    <t>しん　しん門不合　1703　鍼灸阿是要穴　岡本一抱.jpg</t>
  </si>
  <si>
    <t>しん　唇　1669　鍼灸枢要　山本玄通_ページ_1.jpg</t>
  </si>
  <si>
    <t>しん　唇　1669　鍼灸枢要　山本玄通_ページ_2.jpg</t>
  </si>
  <si>
    <t>しん　唇　1718　鍼灸重宝記　本郷正豊.jpg</t>
  </si>
  <si>
    <t>しん　唇　1800　鍼灸備要　小坂元祐.jpg</t>
  </si>
  <si>
    <t>しん　唇口　1680　鍼灸抜萃　著者未詳.jpg</t>
  </si>
  <si>
    <t>しん　唇口　1693　鍼灸要歌集　安井昌玄_ページ_1.jpg</t>
  </si>
  <si>
    <t>しん　唇口　1693　鍼灸要歌集　安井昌玄_ページ_2.jpg</t>
  </si>
  <si>
    <t>しん　唇口　1693　鍼灸要歌集　安井昌玄_ページ_3.jpg</t>
  </si>
  <si>
    <t>しん　唇口　1696　広益鍼灸抜萃　著者未詳_ページ_1.jpg</t>
  </si>
  <si>
    <t>しん　唇口　1696　広益鍼灸抜萃　著者未詳_ページ_2.jpg</t>
  </si>
  <si>
    <t>しん　唇口病　成書年未詳　灸穴集　著者未詳_ページ_1.jpg</t>
  </si>
  <si>
    <t>しん　唇口病　成書年未詳　灸穴集　著者未詳_ページ_2.jpg</t>
  </si>
  <si>
    <t>しん　唇口病　成書年未詳　灸穴集　著者未詳_ページ_3.jpg</t>
  </si>
  <si>
    <t>しん　唇口病　成書年未詳　灸穴集　著者未詳_ページ_4.jpg</t>
  </si>
  <si>
    <t>しん　唇口病　成書年未詳　灸穴集　著者未詳_ページ_5.jpg</t>
  </si>
  <si>
    <t>しん　唇頬腫痛（頤頷腫）　1220　鍼灸資生経　王執中_ページ_1.jpg</t>
  </si>
  <si>
    <t>しん　唇頬腫痛（頤頷腫）　1220　鍼灸資生経　王執中_ページ_2.jpg</t>
  </si>
  <si>
    <t>しん　心の積　1607　扁鵲新流鍼書　越齋寿閑_ページ_1.jpg</t>
  </si>
  <si>
    <t>しん　心の積　1607　扁鵲新流鍼書　越齋寿閑_ページ_2.jpg</t>
  </si>
  <si>
    <t>しん　心下痞悶・不食　むねの下つかえてふしょく（不食）する人　1780　鍼灸極秘伝　木村太沖.jpg</t>
  </si>
  <si>
    <t>しん　心喜笑（怒）　1220　鍼灸資生経　王執中.jpg</t>
  </si>
  <si>
    <t>しん　心恍惚（余見肺中風）　1220　鍼灸資生経　王執中_ページ_1.jpg</t>
  </si>
  <si>
    <t>しん　心恍惚（余見肺中風）　1220　鍼灸資生経　王執中_ページ_2.jpg</t>
  </si>
  <si>
    <t>しん　心悶不已　1315　鍼経摘英集　元・杜思敬「済生抜粋方」.jpg</t>
  </si>
  <si>
    <t>しん　心憂悲（哭泣　余見癲邪）　1220　鍼灸資生経　王執中.jpg</t>
  </si>
  <si>
    <t>しん　心気　健忘　無心力　失志　1912年（大正01）　鍼灸手引草　久木田七郎.jpg</t>
  </si>
  <si>
    <t>しん　心気（健忘、無心力、失志）　1220　鍼灸資生経　王執中_ページ_1.jpg</t>
  </si>
  <si>
    <t>しん　心気（健忘、無心力、失志）　1220　鍼灸資生経　王執中_ページ_2.jpg</t>
  </si>
  <si>
    <t>しん　心煩悶　1220　鍼灸資生経　王執中.jpg</t>
  </si>
  <si>
    <t>しん　心煩悶　1912年（大正01）　鍼灸手引草　久木田七郎_ページ_1.jpg</t>
  </si>
  <si>
    <t>しん　心煩悶　1912年（大正01）　鍼灸手引草　久木田七郎_ページ_2.jpg</t>
  </si>
  <si>
    <t>しん　心病　0650　千金方　孫思ばく_ページ_1.jpg</t>
  </si>
  <si>
    <t>しん　心痛　1220　鍼灸資生経　王執中_ページ_1.jpg</t>
  </si>
  <si>
    <t>しん　心痛　1220　鍼灸資生経　王執中_ページ_2.jpg</t>
  </si>
  <si>
    <t>しん　心痛　1220　鍼灸資生経　王執中_ページ_3.jpg</t>
  </si>
  <si>
    <t>しん　心痛　1220　鍼灸資生経　王執中_ページ_4.jpg</t>
  </si>
  <si>
    <t>しん　心痛　1329　扁鵲神応鍼灸玉龍経　元・王国瑞.jpg</t>
  </si>
  <si>
    <t>しん　心痛　1537　鍼灸聚英　明・高武_ページ_1.jpg</t>
  </si>
  <si>
    <t>しん　心痛　1537　鍼灸聚英　明・高武_ページ_2.jpg</t>
  </si>
  <si>
    <t>しん　心痛　1594　経脈方寸秘書　曲直瀬道三.jpg</t>
  </si>
  <si>
    <t>しん　心痛　1594　鍼灸集要　曲直瀬道三_ページ_1.jpg</t>
  </si>
  <si>
    <t>しん　心痛　1594　鍼灸集要　曲直瀬道三_ページ_2.jpg</t>
  </si>
  <si>
    <t>しん　心痛　1607　扁鵲新流鍼書　越齋寿閑.jpg</t>
  </si>
  <si>
    <t>しん　心痛　1613　古今集鍼法　長生庵了味か.jpg</t>
  </si>
  <si>
    <t>しん　心痛　1679　鍼法奇貨　渡辺東伯_ページ_1.jpg</t>
  </si>
  <si>
    <t>しん　心痛　1679　鍼法奇貨　渡辺東伯_ページ_2.jpg</t>
  </si>
  <si>
    <t>しん　心痛　1679　鍼法奇貨　渡辺東伯_ページ_3.jpg</t>
  </si>
  <si>
    <t>しん　心痛　1680　鍼灸抜萃　著者未詳.jpg</t>
  </si>
  <si>
    <t>しん　心痛　1686　鍼灸要法指南　岩田利斎.jpg</t>
  </si>
  <si>
    <t>しん　心痛　1693　鍼灸要歌集　安井昌玄_ページ_1.jpg</t>
  </si>
  <si>
    <t>しん　心痛　1693　鍼灸要歌集　安井昌玄_ページ_2.jpg</t>
  </si>
  <si>
    <t>しん　心痛　1693　鍼灸要歌集　安井昌玄_ページ_3.jpg</t>
  </si>
  <si>
    <t>しん　心痛　1696　広益鍼灸抜萃　著者未詳_ページ_1.jpg</t>
  </si>
  <si>
    <t>しん　心痛　1696　広益鍼灸抜萃　著者未詳_ページ_2.jpg</t>
  </si>
  <si>
    <t>しん　心痛　1698　鍼灸抜粋大成　岡本一抱_ページ_1.jpg</t>
  </si>
  <si>
    <t>しん　心痛　1698　鍼灸抜粋大成　岡本一抱_ページ_2.jpg</t>
  </si>
  <si>
    <t>しん　心痛　1718　むねいたみ　鍼灸重宝記　本郷正豊_ページ_1.jpg</t>
  </si>
  <si>
    <t>しん　心痛　1718　むねいたみ　鍼灸重宝記　本郷正豊_ページ_2.jpg</t>
  </si>
  <si>
    <t>しん　心痛　1773　鍼灸手引草　大簡室主人.jpg</t>
  </si>
  <si>
    <t>しん　心痛　1785　鍼書　本城義軒_ページ_1.jpg</t>
  </si>
  <si>
    <t>しん　心痛　1785　鍼書　本城義軒_ページ_2.jpg</t>
  </si>
  <si>
    <t>しん　心痛　1792　鍼法要集　源長起_ページ_1.jpg</t>
  </si>
  <si>
    <t>しん　心痛　1792　鍼法要集　源長起_ページ_2.jpg</t>
  </si>
  <si>
    <t>しん　心痛　1792　鍼法要集　源長起_ページ_3.jpg</t>
  </si>
  <si>
    <t>しん　心痛　1794　杉山流鍼術　島浦和田一.jpg</t>
  </si>
  <si>
    <t>しん　心痛　1800　鍼灸備要　小坂元祐_ページ_1.jpg</t>
  </si>
  <si>
    <t>しん　心痛　1800　鍼灸備要　小坂元祐_ページ_2.jpg</t>
  </si>
  <si>
    <t>しん　心痛　1912年（大正01）　鍼灸手引草　久木田七郎.jpg</t>
  </si>
  <si>
    <t>しん　心痛　卒心痛胸痺心疝三蟲　0300　●寒気客於五臓六臓発卒心痛胸痺心疝三蟲　第二　鍼灸甲乙経　皇甫謐_ページ_1.jpg</t>
  </si>
  <si>
    <t>しん　心痛　卒心痛胸痺心疝三蟲　0300　●寒気客於五臓六臓発卒心痛胸痺心疝三蟲　第二　鍼灸甲乙経　皇甫謐_ページ_2.jpg</t>
  </si>
  <si>
    <t>しん　心痛　成書年未詳　灸穴集　著者未詳_ページ_1.jpg</t>
  </si>
  <si>
    <t>しん　心痛　成書年未詳　灸穴集　著者未詳_ページ_2.jpg</t>
  </si>
  <si>
    <t>しん　心痛　成書年未詳　灸穴集　著者未詳_ページ_3.jpg</t>
  </si>
  <si>
    <t>しん　心痛　成書年未詳　灸穴集　著者未詳_ページ_4.jpg</t>
  </si>
  <si>
    <t>しん　心痛　成書年未詳　灸穴集　著者未詳_ページ_5.jpg</t>
  </si>
  <si>
    <t>しん　心痛　成書年未詳　灸穴集　著者未詳_ページ_6.jpg</t>
  </si>
  <si>
    <t>しん　心痛　成書年未詳　灸穴集　著者未詳_ページ_7.jpg</t>
  </si>
  <si>
    <t>しん　心痛　成書年未詳　灸穴集　著者未詳_ページ_8.jpg</t>
  </si>
  <si>
    <t>しん　心痛　胃かん痛なり　世俗も胸虫と云ふ物なり　1694　療治之大概集　杉山和一.jpg</t>
  </si>
  <si>
    <t>しん　心痛　附　胃かん痛　1669　鍼灸枢要　山本玄通_ページ_1.jpg</t>
  </si>
  <si>
    <t>しん　心痛　附　胃かん痛　1669　鍼灸枢要　山本玄通_ページ_2.jpg</t>
  </si>
  <si>
    <t>しん　心痛　附　胃かん痛　1669　鍼灸枢要　山本玄通_ページ_3.jpg</t>
  </si>
  <si>
    <t>しん　心痛　附　胃かん痛　1669　鍼灸枢要　山本玄通_ページ_4.jpg</t>
  </si>
  <si>
    <t>しん　心痛　附　胃かん痛　1669　鍼灸枢要　山本玄通_ページ_5.jpg</t>
  </si>
  <si>
    <t>しん　心痛　附　胃かん痛　1669　鍼灸枢要　山本玄通_ページ_6.jpg</t>
  </si>
  <si>
    <t>しん　心痛　附　胃かん痛　1694　鍼灸そかい集　高津敬節.jpg</t>
  </si>
  <si>
    <t>しん　心痛、又、胸痛　むねいたみ　心臓内膜炎　1887（明治20）　鍼灸備要　青山道醇.jpg</t>
  </si>
  <si>
    <t>しん　心神恐驚　1912年（大正01）　鍼灸手引草　久木田七郎_ページ_1.jpg</t>
  </si>
  <si>
    <t>しん　心神恐驚　1912年（大正01）　鍼灸手引草　久木田七郎_ページ_2.jpg</t>
  </si>
  <si>
    <t>しん　心積名伏梁、起臍上、上至心下　1694　選鍼三要集　杉山和一.jpg</t>
  </si>
  <si>
    <t>しん　心脾胃部　1425　神応経　明・陳会撰・劉瑾重校_ページ_1.jpg</t>
  </si>
  <si>
    <t>しん　心脾胃部　1425　神応経　明・陳会撰・劉瑾重校_ページ_2.jpg</t>
  </si>
  <si>
    <t>しん　心脾胃部　1425　神応経　明・陳会撰・劉瑾重校_ページ_3.jpg</t>
  </si>
  <si>
    <t>しん　心腹　脹満　痞気　積聚　1813　名家灸選三編　平井庸信_ページ_1.jpg</t>
  </si>
  <si>
    <t>しん　心腹　脹満　痞気　積聚　1813　名家灸選三編　平井庸信_ページ_3.jpg</t>
  </si>
  <si>
    <t>しん　心腹　脹満　痞気　積聚　1813　名家灸選三編　平井庸信_ページ_4.jpg</t>
  </si>
  <si>
    <t>しん　心腹　脹満　痞気　積聚　1813　名家灸選三編　平井庸信_ページ_5.jpg</t>
  </si>
  <si>
    <t>しん　心腹　脹満　痞気　積聚　1813　名家灸選三編　平井庸信_ページ_6.jpg</t>
  </si>
  <si>
    <t>しん　心腹　脹満　痞気　積聚　1813　名家灸選三編　平井庸信_ページ_7.jpg</t>
  </si>
  <si>
    <t>しん　心腹卒痛、自汗出つる者　むねはら急にいたみ、あせのいづるに　1780　鍼灸極秘伝　木村太沖.jpg</t>
  </si>
  <si>
    <t>しん　心腹堅大（余論見腹満）　1220　鍼灸資生経　王執中_ページ_1.jpg</t>
  </si>
  <si>
    <t>しん　心腹堅大（余論見腹満）　1220　鍼灸資生経　王執中_ページ_2.jpg</t>
  </si>
  <si>
    <t>しん　心腹満痛　附半身麻痺手足不仁　1329　扁鵲神応鍼灸玉龍経　元・王国瑞.jpg</t>
  </si>
  <si>
    <t>しん　心腹痛　1807　続名家灸選　平井庸信_ページ_1.jpg</t>
  </si>
  <si>
    <t>しん　心腹痛　1807　続名家灸選　平井庸信_ページ_2.jpg</t>
  </si>
  <si>
    <t>しん　心腹胸脇痛脹　1624　類経図翼　明・張介賓_ページ_1.jpg</t>
  </si>
  <si>
    <t>しん　心腹胸脇痛脹　1624　類経図翼　明・張介賓_ページ_2.jpg</t>
  </si>
  <si>
    <t>しん　心腹胸脇痛脹　1624　類経図翼　明・張介賓_ページ_3.jpg</t>
  </si>
  <si>
    <t>しん　心腹胸脇痛脹　1624　類経図翼　明・張介賓_ページ_4.jpg</t>
  </si>
  <si>
    <t>しん　心腹胸脇痛脹　1624　類経図翼　明・張介賓_ページ_5.jpg</t>
  </si>
  <si>
    <t>しん　心腹胸脇痛脹　1761　挨穴捷径　杉原敦_ページ_1.jpg</t>
  </si>
  <si>
    <t>しん　心腹胸脇痛脹　1761　挨穴捷径　杉原敦_ページ_2.jpg</t>
  </si>
  <si>
    <t>しん　心腹胸脇痛脹　1761　挨穴捷径　杉原敦_ページ_3.jpg</t>
  </si>
  <si>
    <t>しん　心腹胸脇痛脹　1761　挨穴捷径　杉原敦_ページ_4.jpg</t>
  </si>
  <si>
    <t>しん　心風　きうつ　喜斯底里（キステリ）　1887（明治20）　鍼灸備要　青山道醇.jpg</t>
  </si>
  <si>
    <t>しん　心驚恐　1220　鍼灸資生経　王執中_ページ_1.jpg</t>
  </si>
  <si>
    <t>しん　心驚恐　1220　鍼灸資生経　王執中_ページ_2.jpg</t>
  </si>
  <si>
    <t>しん　真頭痛（しんづつう）　あたまのさけるほどいたむ病　脳膜炎　1887（明治20）　鍼灸備要　青山道醇.jpg</t>
  </si>
  <si>
    <t>しん　神経衰弱　1912年（大正01）　鍼灸手引草　久木田七郎_ページ_1.jpg</t>
  </si>
  <si>
    <t>しん　神経衰弱　1912年（大正01）　鍼灸手引草　久木田七郎_ページ_2.jpg</t>
  </si>
  <si>
    <t>しん　診脈（小児）　1669　鍼灸枢要　山本玄通_ページ_1.jpg</t>
  </si>
  <si>
    <t>しん　診脈（小児）　1669　鍼灸枢要　山本玄通_ページ_2.jpg</t>
  </si>
  <si>
    <t>しん　身体虚弱　1912年（大正01）　鍼灸手引草　久木田七郎.jpg</t>
  </si>
  <si>
    <t>しん　身寒痺　1220　鍼灸資生経　王執中.jpg</t>
  </si>
  <si>
    <t>しん　身痛　1329　扁鵲神応鍼灸玉龍経　元・王国瑞.jpg</t>
  </si>
  <si>
    <t>じ　五痔　1563　鍼灸集要　曲直瀬道三.jpg</t>
  </si>
  <si>
    <t>じ　五痔　下血　脱肛　1807　続名家灸選　平井庸信_ページ_1.jpg</t>
  </si>
  <si>
    <t>じ　五痔　下血　脱肛　1807　続名家灸選　平井庸信_ページ_2.jpg</t>
  </si>
  <si>
    <t>じ　時疫瘧疾　1329　扁鵲神応鍼灸玉龍経　元・王国瑞.jpg</t>
  </si>
  <si>
    <t>じ　痔　0300　●足太陽脈動発下部痔脱且　第十二　鍼灸甲乙経　皇甫謐.jpg</t>
  </si>
  <si>
    <t>じ　痔　1220　鍼灸資生経　王執中_ページ_1.jpg</t>
  </si>
  <si>
    <t>じ　痔　1220　鍼灸資生経　王執中_ページ_2.jpg</t>
  </si>
  <si>
    <t>じ　痔　1594　経脈方寸秘書　曲直瀬道三.jpg</t>
  </si>
  <si>
    <t>じ　痔　1680　鍼灸抜萃　著者未詳.jpg</t>
  </si>
  <si>
    <t>じ　痔　1694　選鍼三要集　杉山和一_ページ_1.jpg</t>
  </si>
  <si>
    <t>じ　痔　1694　選鍼三要集　杉山和一_ページ_2.jpg</t>
  </si>
  <si>
    <t>じ　痔　1696　広益鍼灸抜萃　著者未詳_ページ_1.jpg</t>
  </si>
  <si>
    <t>じ　痔　1696　広益鍼灸抜萃　著者未詳_ページ_2.jpg</t>
  </si>
  <si>
    <t>じ　痔　1696　広益鍼灸抜萃　著者未詳_ページ_3.jpg</t>
  </si>
  <si>
    <t>じ　痔又痔瘻　1912年（大正01）　鍼灸手引草　久木田七郎.jpg</t>
  </si>
  <si>
    <t>じ　痔漏　0650　痔瘻　千金方　孫思ばく.jpg</t>
  </si>
  <si>
    <t>じ　痔漏　1329　扁鵲神応鍼灸玉龍経　元・王国瑞_ページ_1.jpg</t>
  </si>
  <si>
    <t>じ　痔漏　1329　扁鵲神応鍼灸玉龍経　元・王国瑞_ページ_2.jpg</t>
  </si>
  <si>
    <t>じ　痔漏　1329　痔瘻　扁鵲神応鍼灸玉龍経　元・王国瑞.jpg</t>
  </si>
  <si>
    <t>じ　痔漏　1574　兪穴参伍的法　秦宗巴_ページ_1.jpg</t>
  </si>
  <si>
    <t>じ　痔漏　1574　兪穴参伍的法　秦宗巴_ページ_2.jpg</t>
  </si>
  <si>
    <t>じ　痔漏　1624　類経図翼　明・張介賓_ページ_1.jpg</t>
  </si>
  <si>
    <t>じ　痔漏　1624　類経図翼　明・張介賓_ページ_2.jpg</t>
  </si>
  <si>
    <t>じ　痔漏　1669　鍼灸枢要　山本玄通_ページ_1.jpg</t>
  </si>
  <si>
    <t>じ　痔漏　1669　鍼灸枢要　山本玄通_ページ_2.jpg</t>
  </si>
  <si>
    <t>じ　痔漏　1669　鍼灸枢要　山本玄通_ページ_3.jpg</t>
  </si>
  <si>
    <t>じ　痔漏　1686　鍼灸要法指南　岩田利斎_ページ_1.jpg</t>
  </si>
  <si>
    <t>じ　痔漏　1686　鍼灸要法指南　岩田利斎_ページ_2.jpg</t>
  </si>
  <si>
    <t>じ　痔漏　1693　鍼灸要歌集　安井昌玄_ページ_1.jpg</t>
  </si>
  <si>
    <t>じ　痔漏　1693　鍼灸要歌集　安井昌玄_ページ_2.jpg</t>
  </si>
  <si>
    <t>じ　痔漏　1694　鍼灸そかい集　高津敬節.jpg</t>
  </si>
  <si>
    <t>じ　痔漏　1698　鍼灸抜粋大成　岡本一抱_ページ_1.jpg</t>
  </si>
  <si>
    <t>じ　痔漏　1698　鍼灸抜粋大成　岡本一抱_ページ_2.jpg</t>
  </si>
  <si>
    <t>じ　痔漏　1718　いぼぢ・あなぢ　鍼灸重宝記　本郷正豊_ページ_1.jpg</t>
  </si>
  <si>
    <t>じ　痔漏　1718　いぼぢ・あなぢ　鍼灸重宝記　本郷正豊_ページ_2.jpg</t>
  </si>
  <si>
    <t>じ　痔漏　1767　鍼灸則　菅沼周桂.jpg</t>
  </si>
  <si>
    <t>じ　痔漏　1773　鍼灸手引草　大簡室主人_ページ_1.jpg</t>
  </si>
  <si>
    <t>じ　痔漏　1773　鍼灸手引草　大簡室主人_ページ_2.jpg</t>
  </si>
  <si>
    <t>じ　痔漏　1792　鍼法要集　源長起_ページ_1.jpg</t>
  </si>
  <si>
    <t>じ　痔漏　1792　鍼法要集　源長起_ページ_2.jpg</t>
  </si>
  <si>
    <t>じ　痔漏　1800　鍼灸備要　小坂元祐_ページ_1.jpg</t>
  </si>
  <si>
    <t>じ　痔漏　1800　鍼灸備要　小坂元祐_ページ_2.jpg</t>
  </si>
  <si>
    <t>じ　痔漏　1800　鍼灸備要　小坂元祐_ページ_3.jpg</t>
  </si>
  <si>
    <t>じ　痔漏　ちらう　肛門瘻（ろう）　1887（明治20）　鍼灸備要　青山道醇.jpg</t>
  </si>
  <si>
    <t>じ　痔漏　下血　1758　灸ぜつ塩土伝　三宅意安_ページ_1.jpg</t>
  </si>
  <si>
    <t>じ　痔漏　下血　1758　灸ぜつ塩土伝　三宅意安_ページ_2.jpg</t>
  </si>
  <si>
    <t>じ　痔漏　脱肛　1813　名家灸選　浅井惟亨_ページ_1.jpg</t>
  </si>
  <si>
    <t>じ　痔漏　脱肛　1813　名家灸選　浅井惟亨_ページ_2.jpg</t>
  </si>
  <si>
    <t>じ　痔漏　脱肛　成書年未詳　灸穴集　著者未詳_ページ_1.jpg</t>
  </si>
  <si>
    <t>じ　痔漏　脱肛　成書年未詳　灸穴集　著者未詳_ページ_2.jpg</t>
  </si>
  <si>
    <t>じ　痔漏　脱肛　成書年未詳　灸穴集　著者未詳_ページ_3.jpg</t>
  </si>
  <si>
    <t>じ　痔漏　脱肛　成書年未詳　灸穴集　著者未詳_ページ_4.jpg</t>
  </si>
  <si>
    <t>じ　痔漏　脱肛　成書年未詳　灸穴集　著者未詳_ページ_5.jpg</t>
  </si>
  <si>
    <t>じ　痔疾　1224　医説　宋・張杲_ページ_1.jpg</t>
  </si>
  <si>
    <t>じ　痔疾　1224　医説　宋・張杲_ページ_2.jpg</t>
  </si>
  <si>
    <t>じ　痔病　ぢのやまひ、又、しりのやまひ　痔疾　1887（明治20）　鍼灸備要　青山道醇.jpg</t>
  </si>
  <si>
    <t>じ　耳　0650　千金方　孫思ばく.jpg</t>
  </si>
  <si>
    <t>じ　耳　1563　鍼灸集要　曲直瀬道三.jpg</t>
  </si>
  <si>
    <t>じ　耳　1574　兪穴参伍的法　秦宗巴.jpg</t>
  </si>
  <si>
    <t>じ　耳　1607　扁鵲新流鍼書　越齋寿閑.jpg</t>
  </si>
  <si>
    <t>じ　耳　1669　鍼灸枢要　山本玄通_ページ_1.jpg</t>
  </si>
  <si>
    <t>じ　耳　1669　鍼灸枢要　山本玄通_ページ_2.jpg</t>
  </si>
  <si>
    <t>じ　耳　1669　鍼灸枢要　山本玄通_ページ_3.jpg</t>
  </si>
  <si>
    <t>じ　耳　1669　鍼灸枢要　山本玄通_ページ_4.jpg</t>
  </si>
  <si>
    <t>じ　耳　1669　鍼灸枢要　山本玄通_ページ_5.jpg</t>
  </si>
  <si>
    <t>じ　耳　1669　鍼灸枢要　山本玄通_ページ_6.jpg</t>
  </si>
  <si>
    <t>じ　耳　1679　鍼法奇貨　渡辺東伯_ページ_1.jpg</t>
  </si>
  <si>
    <t>じ　耳　1679　鍼法奇貨　渡辺東伯_ページ_2.jpg</t>
  </si>
  <si>
    <t>じ　耳　1679　鍼法奇貨　渡辺東伯_ページ_3.jpg</t>
  </si>
  <si>
    <t>じ　耳　1680　鍼灸抜萃　著者未詳.jpg</t>
  </si>
  <si>
    <t>じ　耳　1686　鍼灸要法指南　岩田利斎.jpg</t>
  </si>
  <si>
    <t>じ　耳　1693　鍼灸要歌集　安井昌玄.jpg</t>
  </si>
  <si>
    <t>じ　耳　1694　鍼灸そかい集　高津敬節_ページ_1.jpg</t>
  </si>
  <si>
    <t>じ　耳　1694　鍼灸そかい集　高津敬節_ページ_2.jpg</t>
  </si>
  <si>
    <t>じ　耳　1696　広益鍼灸抜萃　著者未詳_ページ_1.jpg</t>
  </si>
  <si>
    <t>じ　耳　1696　広益鍼灸抜萃　著者未詳_ページ_2.jpg</t>
  </si>
  <si>
    <t>じ　耳　1698　鍼灸抜粋大成　岡本一抱.jpg</t>
  </si>
  <si>
    <t>じ　耳　1718　鍼灸重宝記　本郷正豊.jpg</t>
  </si>
  <si>
    <t>じ　耳　1767　鍼灸則　菅沼周桂_ページ_1.jpg</t>
  </si>
  <si>
    <t>じ　耳　1767　鍼灸則　菅沼周桂_ページ_2.jpg</t>
  </si>
  <si>
    <t>じ　耳　1767　鍼灸則　菅沼周桂_ページ_3.jpg</t>
  </si>
  <si>
    <t>じ　耳　1773　鍼灸手引草　大簡室主人_ページ_1.jpg</t>
  </si>
  <si>
    <t>じ　耳　1773　鍼灸手引草　大簡室主人_ページ_2.jpg</t>
  </si>
  <si>
    <t>じ　耳　1792　鍼法要集　源長起_ページ_1.jpg</t>
  </si>
  <si>
    <t>じ　耳　1792　鍼法要集　源長起_ページ_2.jpg</t>
  </si>
  <si>
    <t>じ　耳　1800　鍼灸備要　小坂元祐_ページ_1.jpg</t>
  </si>
  <si>
    <t>じ　耳　1800　鍼灸備要　小坂元祐_ページ_2.jpg</t>
  </si>
  <si>
    <t>じ　耳　1800　鍼灸備要　小坂元祐_ページ_3.jpg</t>
  </si>
  <si>
    <t>じ　耳　成書年未詳　灸穴集　著者未詳_ページ_1.jpg</t>
  </si>
  <si>
    <t>じ　耳　成書年未詳　灸穴集　著者未詳_ページ_2.jpg</t>
  </si>
  <si>
    <t>じ　耳　成書年未詳　灸穴集　著者未詳_ページ_3.jpg</t>
  </si>
  <si>
    <t>じ　耳　成書年未詳　灸穴集　著者未詳_ページ_4.jpg</t>
  </si>
  <si>
    <t>じ　耳　成書年未詳　灸穴集　著者未詳_ページ_5.jpg</t>
  </si>
  <si>
    <t>じ　耳　成書年未詳　経穴図解　著者未詳.jpg</t>
  </si>
  <si>
    <t>じ　耳　成書年未詳　経穴図解　著者未詳_ページ_1.jpg</t>
  </si>
  <si>
    <t>じ　耳　成書年未詳　経穴図解　著者未詳_ページ_2.jpg</t>
  </si>
  <si>
    <t>じ　耳　成書年未詳　経穴図解　著者未詳_ページ_3.jpg</t>
  </si>
  <si>
    <t>じ　耳病　0300　●手太陽少陽脈動発耳病　第五　鍼灸甲乙経　皇甫謐_ページ_1.jpg</t>
  </si>
  <si>
    <t>じ　耳病　0300　●手太陽少陽脈動発耳病　第五　鍼灸甲乙経　皇甫謐_ページ_2.jpg</t>
  </si>
  <si>
    <t>じ　耳痛（につう）　みみいたみ　耳神経痛　1887（明治20）　鍼灸備要　青山道醇.jpg</t>
  </si>
  <si>
    <t>じ　耳目部　1425　神応経　明・陳会撰・劉瑾重校_ページ_1.jpg</t>
  </si>
  <si>
    <t>じ　耳目部　1425　神応経　明・陳会撰・劉瑾重校_ページ_2.jpg</t>
  </si>
  <si>
    <t>じ　耳聾　1220　鍼灸資生経　王執中_ページ_1.jpg</t>
  </si>
  <si>
    <t>じ　耳聾　1220　鍼灸資生経　王執中_ページ_2.jpg</t>
  </si>
  <si>
    <t>じ　耳聾　1694　選鍼三要集　杉山和一.jpg</t>
  </si>
  <si>
    <t>じ　耳聾　耳漏　1912年（大正01）　鍼灸手引草　久木田七郎.jpg</t>
  </si>
  <si>
    <t>じ　耳聾　附紅腫生瘡　1329　扁鵲神応鍼灸玉龍経　元・王国瑞_ページ_1.jpg</t>
  </si>
  <si>
    <t>じ　耳聾　附紅腫生瘡　1329　扁鵲神応鍼灸玉龍経　元・王国瑞_ページ_2.jpg</t>
  </si>
  <si>
    <t>じ　耳聾之針穴　1613　古今集鍼法　長生庵了味か.jpg</t>
  </si>
  <si>
    <t>じ　耳聾耳鳴　1315　鍼経摘英集　元・杜思敬「済生抜粋方」.jpg</t>
  </si>
  <si>
    <t>じ　耳聾（にろう）　みみしひ　聴覚完失　1887（明治20）　鍼灸備要　青山道醇.jpg</t>
  </si>
  <si>
    <t>じ　耳門　耳の病の事　1694　療治之大概集　杉山和一.jpg</t>
  </si>
  <si>
    <t>じ　耳鳴　1220　鍼灸資生経　王執中_ページ_1.jpg</t>
  </si>
  <si>
    <t>じ　耳鳴　1220　鍼灸資生経　王執中_ページ_2.jpg</t>
  </si>
  <si>
    <t>じ　耳鳴　耳痛　1912年（大正01）　鍼灸手引草　久木田七郎.jpg</t>
  </si>
  <si>
    <t>じ　耳鳴（にめい）　みみなり　耳神経痛　1887（明治20）　鍼灸備要　青山道醇.jpg</t>
  </si>
  <si>
    <t>じ　自利　1537　鍼灸聚英　明・高武.jpg</t>
  </si>
  <si>
    <t>じ　自汗　1220　鍼灸資生経　王執中_ページ_1.jpg</t>
  </si>
  <si>
    <t>じ　自汗　1220　鍼灸資生経　王執中_ページ_2.jpg</t>
  </si>
  <si>
    <t>じ　自汗　1767　鍼灸則　菅沼周桂.jpg</t>
  </si>
  <si>
    <t>じ　自汗　1773　鍼灸手引草　大簡室主人_ページ_1.jpg</t>
  </si>
  <si>
    <t>じ　自汗　1773　鍼灸手引草　大簡室主人_ページ_2.jpg</t>
  </si>
  <si>
    <t>じ　自汗　あせかく事附たり盗汗はねあせなり　1694　療治之大概集　杉山和一.jpg</t>
  </si>
  <si>
    <t>じ　自汗盗汗　1563　鍼灸集要　曲直瀬道三.jpg</t>
  </si>
  <si>
    <t>じ　自汗盗汗　1574　兪穴参伍的法　秦宗巴.jpg</t>
  </si>
  <si>
    <t>じ　自汗盗汗　成書年未詳　灸穴集　著者未詳.jpg</t>
  </si>
  <si>
    <t>じ　自汗盗汗（じかんとうかん）　ひあせ、又、ねあせ　多汗症　1887（明治20）　鍼灸備要　青山道醇.jpg</t>
  </si>
  <si>
    <t>じ　諸痔　下血　脱肛　1813　名家灸選三編　平井庸信_ページ_1.jpg</t>
  </si>
  <si>
    <t>じ　諸痔　下血　脱肛　1813　名家灸選三編　平井庸信_ページ_2.jpg</t>
  </si>
  <si>
    <t>じ　諸痔　下血　脱肛　1813　名家灸選三編　平井庸信_ページ_3.jpg</t>
  </si>
  <si>
    <t>じく　衄　0300　●血溢発衄　第七　鍼灸甲乙経　皇甫謐_ページ_1.jpg</t>
  </si>
  <si>
    <t>じく　衄　0300　●血溢発衄　第七　鍼灸甲乙経　皇甫謐_ページ_2.jpg</t>
  </si>
  <si>
    <t>じく　衄血　1624　類経図翼　明・張介賓.jpg</t>
  </si>
  <si>
    <t>じく　衄血　1694　選鍼三要集　杉山和一.jpg</t>
  </si>
  <si>
    <t>じく　衄血　1767　鍼灸則　菅沼周桂.jpg</t>
  </si>
  <si>
    <t>じく　衄血　1773　鍼灸手引草　大簡室主人.jpg</t>
  </si>
  <si>
    <t>じく　衄血　1785　鍼書　本城義軒.jpg</t>
  </si>
  <si>
    <t>じく　衄血　1912年（大正01）　鍼灸手引草　久木田七郎.jpg</t>
  </si>
  <si>
    <t>じく　衄血　はなじ　1686　鍼灸要法指南　岩田利斎_ページ_1.jpg</t>
  </si>
  <si>
    <t>じく　衄血　はなじ　1686　鍼灸要法指南　岩田利斎_ページ_2.jpg</t>
  </si>
  <si>
    <t>じく　衄血　はな血いづる人　1780　鍼灸極秘伝　木村太沖.jpg</t>
  </si>
  <si>
    <t>じく　衄血之針穴　1613　古今集鍼法　長生庵了味か.jpg</t>
  </si>
  <si>
    <t>じく　衄血（じゆつけつ）　はなち　鼻孔出血　1887（明治20）　鍼灸備要　青山道醇.jpg</t>
  </si>
  <si>
    <t>じゃ　一切蛇傷　1226　備急灸法　宋・聞人耆年_ページ_1.jpg</t>
  </si>
  <si>
    <t>じゃ　一切蛇傷　1226　備急灸法　宋・聞人耆年_ページ_2.jpg</t>
  </si>
  <si>
    <t>じゃ　蛇毒　1224　医説　宋・張杲_ページ_1.jpg</t>
  </si>
  <si>
    <t>じゃ　蛇毒　1224　医説　宋・張杲_ページ_2.jpg</t>
  </si>
  <si>
    <t>じゃ　邪崇　1624　類経図翼　明・張介賓_ページ_1.jpg</t>
  </si>
  <si>
    <t>じゃ　邪崇　1624　類経図翼　明・張介賓_ページ_2.jpg</t>
  </si>
  <si>
    <t>じゃ　邪崇　1624　類経図翼　明・張介賓_ページ_3.jpg</t>
  </si>
  <si>
    <t>じゃ　邪崇　1624　類経図翼　明・張介賓_ページ_4.jpg</t>
  </si>
  <si>
    <t>じゃ　邪崇　1624　類経図翼　明・張介賓_ページ_5.jpg</t>
  </si>
  <si>
    <t>じゃ　邪崇　1761　挨穴捷径　杉原敦.jpg</t>
  </si>
  <si>
    <t>じゃ　邪崇　1767　鍼灸則　菅沼周桂_ページ_1.jpg</t>
  </si>
  <si>
    <t>じゃ　邪崇　1767　鍼灸則　菅沼周桂_ページ_2.jpg</t>
  </si>
  <si>
    <t>じゃ　邪崇（じゃすい）　中悪　1686　鍼灸要法指南　岩田利斎_ページ_1.jpg</t>
  </si>
  <si>
    <t>じゃ　邪崇（じゃすい）　中悪　1686　鍼灸要法指南　岩田利斎_ページ_2.jpg</t>
  </si>
  <si>
    <t>じゃ　邪気　1607　扁鵲新流鍼書　越齋寿閑.jpg</t>
  </si>
  <si>
    <t>じゃ　邪病　1792　鍼法要集　源長起_ページ_1.jpg</t>
  </si>
  <si>
    <t>じゃ　邪病　1792　鍼法要集　源長起_ページ_2.jpg</t>
  </si>
  <si>
    <t>じゃ　邪病　1792　鍼法要集　源長起_ページ_3.jpg</t>
  </si>
  <si>
    <t>じゃく　雀目（じゃくもく）　とりめ　夜盲、又、晩盲　1887（明治20）　鍼灸備要　青山道醇.jpg</t>
  </si>
  <si>
    <t>じゅ　聚　1607　扁鵲新流鍼書　越齋寿閑.jpg</t>
  </si>
  <si>
    <t>じゅう　諸獣諸虫咬蟄所傷　1765　鍼法弁惑　藤井秀孟_ページ_1.jpg</t>
  </si>
  <si>
    <t>じゅう　諸獣諸虫咬蟄所傷　1765　鍼法弁惑　藤井秀孟_ページ_2.jpg</t>
  </si>
  <si>
    <t>じゅう　諸獣諸虫咬蟄所傷　1765　鍼法弁惑　藤井秀孟_ページ_3.jpg</t>
  </si>
  <si>
    <t>じゅう　重舌　1686　鍼灸要法指南　岩田利斎.jpg</t>
  </si>
  <si>
    <t>じゅう　重舌妙灸　1594　経脈方寸秘書　曲直瀬道三.jpg</t>
  </si>
  <si>
    <t>じゅう　重舌木舌弄舌　1693　鍼灸要歌集　安井昌玄_ページ_1.jpg</t>
  </si>
  <si>
    <t>じゅう　重舌木舌弄舌　1693　鍼灸要歌集　安井昌玄_ページ_2.jpg</t>
  </si>
  <si>
    <t>じゅう　重舌（小児）　1767　鍼灸則　菅沼周桂.jpg</t>
  </si>
  <si>
    <t>じゅう　重舌（舌下生小舌也）　こじた　舌下軟瘤（なんりう）　1887（明治20）　鍼灸備要　青山道醇.jpg</t>
  </si>
  <si>
    <t>じょう　上気　1686　鍼灸要法指南　岩田利斎.jpg</t>
  </si>
  <si>
    <t>じょう　上気　気の上る事　1694　療治之大概集　杉山和一.jpg</t>
  </si>
  <si>
    <t>じょう　上焦熱　附心虚胆寒　1329　扁鵲神応鍼灸玉龍経　元・王国瑞_ページ_1.jpg</t>
  </si>
  <si>
    <t>じょう　上焦熱　附心虚胆寒　1329　扁鵲神応鍼灸玉龍経　元・王国瑞_ページ_2.jpg</t>
  </si>
  <si>
    <t>じょう　上衝生瘡　成書年未詳　灸穴集　著者未詳.jpg</t>
  </si>
  <si>
    <t>じょし　女子漏下不止　1315　鍼経摘英集　元・杜思敬「済生抜粋方」.jpg</t>
  </si>
  <si>
    <t>じん　腎の積　1607　扁鵲新流鍼書　越齋寿閑_ページ_1.jpg</t>
  </si>
  <si>
    <t>じん　腎の積　1607　扁鵲新流鍼書　越齋寿閑_ページ_2.jpg</t>
  </si>
  <si>
    <t>じん　腎積名奔豚、生臍下、或上下無時　1694　選鍼三要集　杉山和一.jpg</t>
  </si>
  <si>
    <t>じん　腎虚　1220　鍼灸資生経　王執中_ページ_1.jpg</t>
  </si>
  <si>
    <t>じん　腎虚　1220　鍼灸資生経　王執中_ページ_2.jpg</t>
  </si>
  <si>
    <t>じん　腎虚腰痛　1329　扁鵲神応鍼灸玉龍経　元・王国瑞_ページ_1.jpg</t>
  </si>
  <si>
    <t>じん　腎虚腰痛　1329　扁鵲神応鍼灸玉龍経　元・王国瑞_ページ_2.jpg</t>
  </si>
  <si>
    <t>じん　腎虚腰痛久不已　1315　鍼経摘英集　元・杜思敬「済生抜粋方」_ページ_1.jpg</t>
  </si>
  <si>
    <t>じん　腎虚腰痛久不已　1315　鍼経摘英集　元・杜思敬「済生抜粋方」_ページ_2.jpg</t>
  </si>
  <si>
    <t>すい　●水膚脹鼓脹腸覃石か　第四　0300　鍼灸甲乙経　皇甫謐_ページ_1.jpg</t>
  </si>
  <si>
    <t>すい　●水膚脹鼓脹腸覃石か　第四　0300　鍼灸甲乙経　皇甫謐_ページ_2.jpg</t>
  </si>
  <si>
    <t>すい　吹よう　1686　鍼灸要法指南　岩田利斎.jpg</t>
  </si>
  <si>
    <t>すい　吹よう之治法　1693　鍼灸要歌集　安井昌玄.jpg</t>
  </si>
  <si>
    <t>すい　吹乳　1329　扁鵲神応鍼灸玉龍経　元・王国瑞.jpg</t>
  </si>
  <si>
    <t>すい　水気　玉機微義針灸証治　1537　鍼灸聚英　明・高武_ページ_1.jpg</t>
  </si>
  <si>
    <t>すい　水気　玉機微義針灸証治　1537　鍼灸聚英　明・高武_ページ_2.jpg</t>
  </si>
  <si>
    <t>すい　水気（すいき）　はれやみ　水腫（すいしゅ）病　1887（明治20）　鍼灸備要　青山道醇_ページ_1.jpg</t>
  </si>
  <si>
    <t>すい　水気（すいき）　はれやみ　水腫（すいしゅ）病　1887（明治20）　鍼灸備要　青山道醇_ページ_2.jpg</t>
  </si>
  <si>
    <t>すい　水病　1765　鍼法弁惑　藤井秀孟_ページ_1.jpg</t>
  </si>
  <si>
    <t>すい　水病　1765　鍼法弁惑　藤井秀孟_ページ_2.jpg</t>
  </si>
  <si>
    <t>すい　水病　1765　鍼法弁惑　藤井秀孟_ページ_3.jpg</t>
  </si>
  <si>
    <t>すい　水病　1765　鍼法弁惑　藤井秀孟_ページ_4.jpg</t>
  </si>
  <si>
    <t>すい　水病　1792　鍼法要集　源長起_ページ_1.jpg</t>
  </si>
  <si>
    <t>すい　水病　1792　鍼法要集　源長起_ページ_2.jpg</t>
  </si>
  <si>
    <t>すい　水病　1792　鍼法要集　源長起_ページ_3.jpg</t>
  </si>
  <si>
    <t>すい　水痢不止，食不化　1315　鍼経摘英集　元・杜思敬「済生抜粋方」.jpg</t>
  </si>
  <si>
    <t>すい　水脹　1669　鍼灸枢要　山本玄通_ページ_01.jpg</t>
  </si>
  <si>
    <t>すい　水脹　1669　鍼灸枢要　山本玄通_ページ_02.jpg</t>
  </si>
  <si>
    <t>すい　水脹　1669　鍼灸枢要　山本玄通_ページ_03.jpg</t>
  </si>
  <si>
    <t>すい　水脹　1669　鍼灸枢要　山本玄通_ページ_04.jpg</t>
  </si>
  <si>
    <t>すい　水脹　1669　鍼灸枢要　山本玄通_ページ_05.jpg</t>
  </si>
  <si>
    <t>すい　水脹　1669　鍼灸枢要　山本玄通_ページ_06.jpg</t>
  </si>
  <si>
    <t>すい　水脹　1669　鍼灸枢要　山本玄通_ページ_07.jpg</t>
  </si>
  <si>
    <t>すい　水脹　1669　鍼灸枢要　山本玄通_ページ_08.jpg</t>
  </si>
  <si>
    <t>すい　水脹　1669　鍼灸枢要　山本玄通_ページ_09.jpg</t>
  </si>
  <si>
    <t>すい　水脹　1669　鍼灸枢要　山本玄通_ページ_10.jpg</t>
  </si>
  <si>
    <t>すい　水脹　1669　鍼灸枢要　山本玄通_ページ_11.jpg</t>
  </si>
  <si>
    <t>すい　水脹　1669　鍼灸枢要　山本玄通_ページ_12.jpg</t>
  </si>
  <si>
    <t>すい　水脹　1800　鍼灸備要　小坂元祐_ページ_1.jpg</t>
  </si>
  <si>
    <t>すい　水脹　1800　鍼灸備要　小坂元祐_ページ_2.jpg</t>
  </si>
  <si>
    <t>すい　水脹　1800　鍼灸備要　小坂元祐_ページ_3.jpg</t>
  </si>
  <si>
    <t>すい　水脹　1800　鍼灸備要　小坂元祐_ページ_4.jpg</t>
  </si>
  <si>
    <t>すい　水腫　0650　千金方　孫思ばく_ページ_1.jpg</t>
  </si>
  <si>
    <t>すい　水腫　0650　千金方　孫思ばく_ページ_2.jpg</t>
  </si>
  <si>
    <t>すい　水腫　1220　鍼灸資生経　王執中_ページ_1.jpg</t>
  </si>
  <si>
    <t>すい　水腫　1220　鍼灸資生経　王執中_ページ_2.jpg</t>
  </si>
  <si>
    <t>すい　水腫　1220　鍼灸資生経　王執中_ページ_3.jpg</t>
  </si>
  <si>
    <t>すい　水腫　1329　扁鵲神応鍼灸玉龍経　元・王国瑞_ページ_1.jpg</t>
  </si>
  <si>
    <t>すい　水腫　1329　扁鵲神応鍼灸玉龍経　元・王国瑞_ページ_2.jpg</t>
  </si>
  <si>
    <t>すい　水腫　1537　鍼灸聚英　明・高武_ページ_1.jpg</t>
  </si>
  <si>
    <t>すい　水腫　1537　鍼灸聚英　明・高武_ページ_2.jpg</t>
  </si>
  <si>
    <t>すい　水腫　1563　鍼灸集要　曲直瀬道三.jpg</t>
  </si>
  <si>
    <t>すい　水腫　1574　兪穴参伍的法　秦宗巴.jpg</t>
  </si>
  <si>
    <t>すい　水腫　1679　鍼法奇貨　渡辺東伯_ページ_1.jpg</t>
  </si>
  <si>
    <t>すい　水腫　1679　鍼法奇貨　渡辺東伯_ページ_2.jpg</t>
  </si>
  <si>
    <t>すい　水腫　1679　鍼法奇貨　渡辺東伯_ページ_3.jpg</t>
  </si>
  <si>
    <t>すい　水腫　1679　鍼法奇貨　渡辺東伯_ページ_4.jpg</t>
  </si>
  <si>
    <t>すい　水腫　1680　鍼灸抜萃　著者未詳.jpg</t>
  </si>
  <si>
    <t>すい　水腫　1693　鍼灸要歌集　安井昌玄_ページ_1.jpg</t>
  </si>
  <si>
    <t>すい　水腫　1693　鍼灸要歌集　安井昌玄_ページ_2.jpg</t>
  </si>
  <si>
    <t>すい　水腫　1694　選鍼三要集　杉山和一_ページ_1.jpg</t>
  </si>
  <si>
    <t>すい　水腫　1694　選鍼三要集　杉山和一_ページ_2.jpg</t>
  </si>
  <si>
    <t>すい　水腫　1694　鍼灸そかい集　高津敬節_ページ_1.jpg</t>
  </si>
  <si>
    <t>すい　水腫　1694　鍼灸そかい集　高津敬節_ページ_2.jpg</t>
  </si>
  <si>
    <t>すい　水腫　1696　広益鍼灸抜萃　著者未詳_ページ_1.jpg</t>
  </si>
  <si>
    <t>すい　水腫　1696　広益鍼灸抜萃　著者未詳_ページ_2.jpg</t>
  </si>
  <si>
    <t>すい　水腫　1698　鍼灸抜粋大成　岡本一抱.jpg</t>
  </si>
  <si>
    <t>すい　水腫　1767　鍼灸則　菅沼周桂_ページ_1.jpg</t>
  </si>
  <si>
    <t>すい　水腫　1767　鍼灸則　菅沼周桂_ページ_2.jpg</t>
  </si>
  <si>
    <t>すい　水腫　1773　鍼灸手引草　大簡室主人_ページ_1.jpg</t>
  </si>
  <si>
    <t>すい　水腫　1773　鍼灸手引草　大簡室主人_ページ_2.jpg</t>
  </si>
  <si>
    <t>すい　水腫　1785　鍼書　本城義軒.jpg</t>
  </si>
  <si>
    <t>すい　水腫　1794　杉山流鍼術　島浦和田一.jpg</t>
  </si>
  <si>
    <t>すい　水腫　1813　名家灸選　浅井惟亨.jpg</t>
  </si>
  <si>
    <t>すい　水腫　1912年（大正01）　鍼灸手引草　久木田七郎.jpg</t>
  </si>
  <si>
    <t>すい　水腫　しゅき（腫気）、はれやまい　1780　鍼灸極秘伝　木村太沖.jpg</t>
  </si>
  <si>
    <t>すい　水腫　はれやまひ　1718　鍼灸重宝記　本郷正豊.jpg</t>
  </si>
  <si>
    <t>すい　水腫　みづばれの事　1694　療治之大概集　杉山和一.jpg</t>
  </si>
  <si>
    <t>すい　水腫　付脹満　1607　扁鵲新流鍼書　越齋寿閑.jpg</t>
  </si>
  <si>
    <t>すい　水腫　成書年未詳　灸穴集　著者未詳_ページ_1.jpg</t>
  </si>
  <si>
    <t>すい　水腫　成書年未詳　灸穴集　著者未詳_ページ_2.jpg</t>
  </si>
  <si>
    <t>すい　水腫　成書年未詳　灸穴集　著者未詳_ページ_3.jpg</t>
  </si>
  <si>
    <t>すい　水腫　脹満　1686　鍼灸要法指南　岩田利斎.jpg</t>
  </si>
  <si>
    <t>すい　水腫之針穴　1613　古今集鍼法　長生庵了味か.jpg</t>
  </si>
  <si>
    <t>すい　水腫遍身満つる者　すいしゅ総身はれたる人　1780　鍼灸極秘伝　木村太沖.jpg</t>
  </si>
  <si>
    <t>すん　寸白　1800　岡田流鍼術書　岡田見龍_ページ_1.jpg</t>
  </si>
  <si>
    <t>すん　寸白　1800　岡田流鍼術書　岡田見龍_ページ_2.jpg</t>
  </si>
  <si>
    <t>すん　寸白虫　1813　名家灸選三編　平井庸信.jpg</t>
  </si>
  <si>
    <t>ず　上気頭痛　風眩　1813　名家灸選三編　平井庸信_ページ_1.jpg</t>
  </si>
  <si>
    <t>ず　上気頭痛　風眩　1813　名家灸選三編　平井庸信_ページ_2.jpg</t>
  </si>
  <si>
    <t>ず　上気頭痛　風眩　1813　名家灸選三編　平井庸信_ページ_3.jpg</t>
  </si>
  <si>
    <t>ず　正頭痛　1794　杉山流鍼術　島浦和田一.jpg</t>
  </si>
  <si>
    <t>ず　酔後頭痛　1794　杉山流鍼術　島浦和田一.jpg</t>
  </si>
  <si>
    <t>ず　酔頭痛嘔吐不止悪聞人言　1794　杉山流鍼術　島浦和田一.jpg</t>
  </si>
  <si>
    <t>ず　雷頭風　1794　杉山流鍼術　島浦和田一.jpg</t>
  </si>
  <si>
    <t>ず　頭　頭痛　1669　鍼灸枢要　山本玄通_ページ_01.jpg</t>
  </si>
  <si>
    <t>ず　頭　頭痛　1669　鍼灸枢要　山本玄通_ページ_02.jpg</t>
  </si>
  <si>
    <t>ず　頭　頭痛　1669　鍼灸枢要　山本玄通_ページ_03.jpg</t>
  </si>
  <si>
    <t>ず　頭　頭痛　1669　鍼灸枢要　山本玄通_ページ_04.jpg</t>
  </si>
  <si>
    <t>ず　頭　頭痛　1669　鍼灸枢要　山本玄通_ページ_05.jpg</t>
  </si>
  <si>
    <t>ず　頭　頭痛　1669　鍼灸枢要　山本玄通_ページ_06.jpg</t>
  </si>
  <si>
    <t>ず　頭　頭痛　1669　鍼灸枢要　山本玄通_ページ_07.jpg</t>
  </si>
  <si>
    <t>ず　頭　頭痛　1669　鍼灸枢要　山本玄通_ページ_08.jpg</t>
  </si>
  <si>
    <t>ず　頭　頭痛　1669　鍼灸枢要　山本玄通_ページ_09.jpg</t>
  </si>
  <si>
    <t>ず　頭　頭痛　1669　鍼灸枢要　山本玄通_ページ_10.jpg</t>
  </si>
  <si>
    <t>ず　頭　頭痛　1669　鍼灸枢要　山本玄通_ページ_11.jpg</t>
  </si>
  <si>
    <t>ず　頭旋（頭重）　1220　鍼灸資生経　王執中.jpg</t>
  </si>
  <si>
    <t>ず　頭熱暈　1794　杉山流鍼術　島浦和田一_ページ_1.jpg</t>
  </si>
  <si>
    <t>ず　頭熱暈　1794　杉山流鍼術　島浦和田一_ページ_2.jpg</t>
  </si>
  <si>
    <t>ず　頭疼　1758　灸ぜつ塩土伝　三宅意安_ページ_1.jpg</t>
  </si>
  <si>
    <t>ず　頭疼　1758　灸ぜつ塩土伝　三宅意安_ページ_2.jpg</t>
  </si>
  <si>
    <t>ず　頭病　0650　千金方　孫思ばく_ページ_1.jpg</t>
  </si>
  <si>
    <t>ず　頭病　0650　千金方　孫思ばく_ページ_2.jpg</t>
  </si>
  <si>
    <t>ず　頭痛　0300　●大寒内薄骨髄陽逆発頭痛　第一　鍼灸甲乙経　皇甫謐_ページ_1.jpg</t>
  </si>
  <si>
    <t>ず　頭痛　0300　●大寒内薄骨髄陽逆発頭痛　第一　鍼灸甲乙経　皇甫謐_ページ_2.jpg</t>
  </si>
  <si>
    <t>ず　頭痛　0650　千金方　孫思ばく.jpg</t>
  </si>
  <si>
    <t>ず　頭痛　1220　鍼灸資生経　王執中_ページ_1.jpg</t>
  </si>
  <si>
    <t>ず　頭痛　1220　鍼灸資生経　王執中_ページ_2.jpg</t>
  </si>
  <si>
    <t>ず　頭痛　1220　鍼灸資生経　王執中_ページ_3.jpg</t>
  </si>
  <si>
    <t>ず　頭痛　1537　鍼灸聚英　明・高武_ページ_1.jpg</t>
  </si>
  <si>
    <t>ず　頭痛　1537　鍼灸聚英　明・高武_ページ_2.jpg</t>
  </si>
  <si>
    <t>ず　頭痛　1574　兪穴参伍的法　秦宗巴.jpg</t>
  </si>
  <si>
    <t>ず　頭痛　1607　扁鵲新流鍼書　越齋寿閑.jpg</t>
  </si>
  <si>
    <t>ず　頭痛　1679　鍼法奇貨　渡辺東伯_ページ_1.jpg</t>
  </si>
  <si>
    <t>ず　頭痛　1679　鍼法奇貨　渡辺東伯_ページ_2.jpg</t>
  </si>
  <si>
    <t>ず　頭痛　1679　鍼法奇貨　渡辺東伯_ページ_3.jpg</t>
  </si>
  <si>
    <t>ず　頭痛　1679　鍼法奇貨　渡辺東伯_ページ_4.jpg</t>
  </si>
  <si>
    <t>ず　頭痛　1679　鍼法奇貨　渡辺東伯_ページ_5.jpg</t>
  </si>
  <si>
    <t>ず　頭痛　1679　鍼法奇貨　渡辺東伯_ページ_6.jpg</t>
  </si>
  <si>
    <t>ず　頭痛　1679　鍼法奇貨　渡辺東伯_ページ_7.jpg</t>
  </si>
  <si>
    <t>ず　頭痛　1680　鍼灸抜萃　著者未詳.jpg</t>
  </si>
  <si>
    <t>ず　頭痛　1686　鍼灸要法指南　岩田利斎_ページ_1.jpg</t>
  </si>
  <si>
    <t>ず　頭痛　1686　鍼灸要法指南　岩田利斎_ページ_2.jpg</t>
  </si>
  <si>
    <t>ず　頭痛　1693　鍼灸要歌集　安井昌玄_ページ_1.jpg</t>
  </si>
  <si>
    <t>ず　頭痛　1693　鍼灸要歌集　安井昌玄_ページ_2.jpg</t>
  </si>
  <si>
    <t>ず　頭痛　1694　療治之大概集　杉山和一.jpg</t>
  </si>
  <si>
    <t>ず　頭痛　1694　鍼灸そかい集　高津敬節_ページ_1.jpg</t>
  </si>
  <si>
    <t>ず　頭痛　1694　鍼灸そかい集　高津敬節_ページ_2.jpg</t>
  </si>
  <si>
    <t>ず　頭痛　1696　広益鍼灸抜萃　著者未詳_ページ_1.jpg</t>
  </si>
  <si>
    <t>ず　頭痛　1696　広益鍼灸抜萃　著者未詳_ページ_2.jpg</t>
  </si>
  <si>
    <t>ず　頭痛　1698　鍼灸抜粋大成　岡本一抱.jpg</t>
  </si>
  <si>
    <t>ず　頭痛　1718　かしらいたむ　鍼灸重宝記　本郷正豊.jpg</t>
  </si>
  <si>
    <t>ず　頭痛　1767　鍼灸則　菅沼周桂.jpg</t>
  </si>
  <si>
    <t>ず　頭痛　1767　鍼灸則　菅沼周桂_ページ_1.jpg</t>
  </si>
  <si>
    <t>ず　頭痛　1767　鍼灸則　菅沼周桂_ページ_2.jpg</t>
  </si>
  <si>
    <t>ず　頭痛　1773　鍼灸手引草　大簡室主人.jpg</t>
  </si>
  <si>
    <t>ず　頭痛　1780　づつう　鍼灸極秘伝　木村太沖.jpg</t>
  </si>
  <si>
    <t>ず　頭痛　1785　鍼書　本城義軒_ページ_1.jpg</t>
  </si>
  <si>
    <t>ず　頭痛　1785　鍼書　本城義軒_ページ_2.jpg</t>
  </si>
  <si>
    <t>ず　頭痛　1792　鍼法要集　源長起_ページ_1.jpg</t>
  </si>
  <si>
    <t>ず　頭痛　1792　鍼法要集　源長起_ページ_2.jpg</t>
  </si>
  <si>
    <t>ず　頭痛　1792　鍼法要集　源長起_ページ_3.jpg</t>
  </si>
  <si>
    <t>ず　頭痛　1794　杉山流鍼術　島浦和田一.jpg</t>
  </si>
  <si>
    <t>ず　頭痛　1800　岡田流鍼術書　岡田見龍_ページ_1.jpg</t>
  </si>
  <si>
    <t>ず　頭痛　1800　岡田流鍼術書　岡田見龍_ページ_2.jpg</t>
  </si>
  <si>
    <t>ず　頭痛　1800　鍼灸備要　小坂元祐_ページ_1.jpg</t>
  </si>
  <si>
    <t>ず　頭痛　1800　鍼灸備要　小坂元祐_ページ_2.jpg</t>
  </si>
  <si>
    <t>ず　頭痛　1800　鍼灸備要　小坂元祐_ページ_3.jpg</t>
  </si>
  <si>
    <t>ず　頭痛　1800　鍼灸備要　小坂元祐_ページ_4.jpg</t>
  </si>
  <si>
    <t>ず　頭痛　づつう　脳充血　1887（明治20）　鍼灸備要　青山道醇_ページ_1.jpg</t>
  </si>
  <si>
    <t>ず　頭痛　づつう　脳充血　1887（明治20）　鍼灸備要　青山道醇_ページ_2.jpg</t>
  </si>
  <si>
    <t>ず　頭痛　成書年未詳　灸穴集　著者未詳_ページ_1.jpg</t>
  </si>
  <si>
    <t>ず　頭痛　成書年未詳　灸穴集　著者未詳_ページ_2.jpg</t>
  </si>
  <si>
    <t>ず　頭痛　成書年未詳　経穴図解　著者未詳.jpg</t>
  </si>
  <si>
    <t>ず　頭痛　眩暈　1807　続名家灸選　平井庸信_ページ_1.jpg</t>
  </si>
  <si>
    <t>ず　頭痛　眩暈　1807　続名家灸選　平井庸信_ページ_2.jpg</t>
  </si>
  <si>
    <t>ず　頭痛　眩暈　1807　続名家灸選　平井庸信_ページ_3.jpg</t>
  </si>
  <si>
    <t>ず　頭痛、偏頭痛、目暈　1912年（大正01）　鍼灸手引草　久木田七郎.jpg</t>
  </si>
  <si>
    <t>ず　頭痛之針穴　1613　古今集鍼法　長生庵了味か_ページ_1.jpg</t>
  </si>
  <si>
    <t>ず　頭痛之針穴　1613　古今集鍼法　長生庵了味か_ページ_2.jpg</t>
  </si>
  <si>
    <t>ず　頭痛奇兪　1703　鍼灸阿是要穴　岡本一抱_ページ_1.jpg</t>
  </si>
  <si>
    <t>ず　頭痛奇兪　1703　鍼灸阿是要穴　岡本一抱_ページ_2.jpg</t>
  </si>
  <si>
    <t>ず　頭痛如破　1794　杉山流鍼術　島浦和田一.jpg</t>
  </si>
  <si>
    <t>ず　頭痛項強重不能挙脊反折不能及顧　1794　杉山流鍼術　島浦和田一.jpg</t>
  </si>
  <si>
    <t>ず　頭眩　1537　鍼灸聚英　明・高武.jpg</t>
  </si>
  <si>
    <t>ず　頭眩　1563　鍼灸集要　曲直瀬道三.jpg</t>
  </si>
  <si>
    <t>ず　頭胸痛嘔吐痃暈（＝眩暈）　1329　扁鵲神応鍼灸玉龍経　元・王国瑞_ページ_1.jpg</t>
  </si>
  <si>
    <t>ず　頭胸痛嘔吐痃暈（＝眩暈）　1329　扁鵲神応鍼灸玉龍経　元・王国瑞_ページ_2.jpg</t>
  </si>
  <si>
    <t>ず　頭腫　1220　鍼灸資生経　王執中.jpg</t>
  </si>
  <si>
    <t>ず　頭腫痛　1794　杉山流鍼術　島浦和田一.jpg</t>
  </si>
  <si>
    <t>ず　頭面部　1425　神応経　明・陳会撰・劉瑾重校_ページ_1.jpg</t>
  </si>
  <si>
    <t>ず　頭面部　1425　神応経　明・陳会撰・劉瑾重校_ページ_2.jpg</t>
  </si>
  <si>
    <t>ず　頭面部　1425　神応経　明・陳会撰・劉瑾重校_ページ_3.jpg</t>
  </si>
  <si>
    <t>ず　頭項強痛　1329　扁鵲神応鍼灸玉龍経　元・王国瑞_ページ_1.jpg</t>
  </si>
  <si>
    <t>ず　頭項強痛　1329　扁鵲神応鍼灸玉龍経　元・王国瑞_ページ_2.jpg</t>
  </si>
  <si>
    <t>ず　頭項拘急して引肩背痛　1794　杉山流鍼術　島浦和田一.jpg</t>
  </si>
  <si>
    <t>ず　頭風　1220　鍼灸資生経　王執中_ページ_1.jpg</t>
  </si>
  <si>
    <t>ず　頭風　1220　鍼灸資生経　王執中_ページ_2.jpg</t>
  </si>
  <si>
    <t>ず　頭風　1329　扁鵲神応鍼灸玉龍経　元・王国瑞_ページ_1.jpg</t>
  </si>
  <si>
    <t>ず　頭風　1329　扁鵲神応鍼灸玉龍経　元・王国瑞_ページ_2.jpg</t>
  </si>
  <si>
    <t>ず　頭風　1563　鍼灸集要　曲直瀬道三.jpg</t>
  </si>
  <si>
    <t>ず　頭風妙灸　1594　経脈方寸秘書　曲直瀬道三.jpg</t>
  </si>
  <si>
    <t>ず　頭風痰飲　1329　扁鵲神応鍼灸玉龍経　元・王国瑞.jpg</t>
  </si>
  <si>
    <t>ず　頭風眩暈　1794　杉山流鍼術　島浦和田一_ページ_1.jpg</t>
  </si>
  <si>
    <t>ず　頭風眩暈　1794　杉山流鍼術　島浦和田一_ページ_2.jpg</t>
  </si>
  <si>
    <t>ず　頭風遇風寒悪心嘔吐　1794　杉山流鍼術　島浦和田一.jpg</t>
  </si>
  <si>
    <t>ず　頭風項痛　目眩　1299　続添要穴集　惟宗時俊_ページ_1.jpg</t>
  </si>
  <si>
    <t>ず　頭風項痛　目眩　1299　続添要穴集　惟宗時俊_ページ_2.jpg</t>
  </si>
  <si>
    <t>せい　せいちゅう　1767　鍼灸則　菅沼周桂.jpg</t>
  </si>
  <si>
    <t>せい　せいちゅう　1773　鍼灸手引草　大簡室主人.jpg</t>
  </si>
  <si>
    <t>せい　せいちゅう　むなさわぎ　1686　鍼灸要法指南　岩田利斎.jpg</t>
  </si>
  <si>
    <t>せい　せいちゅう　胸おどり血虚なり　1794　杉山流鍼術　島浦和田一.jpg</t>
  </si>
  <si>
    <t>せい　せいちゅう　驚悸　1669　鍼灸枢要　山本玄通_ページ_1.jpg</t>
  </si>
  <si>
    <t>せい　せいちゅう　驚悸　1669　鍼灸枢要　山本玄通_ページ_2.jpg</t>
  </si>
  <si>
    <t>せい　せいちゅう　驚悸　1669　鍼灸枢要　山本玄通_ページ_3.jpg</t>
  </si>
  <si>
    <t>せい　せいちゅう　驚悸　1800　鍼灸備要　小坂元祐_ページ_1.jpg</t>
  </si>
  <si>
    <t>せい　せいちゅう　驚悸　1800　鍼灸備要　小坂元祐_ページ_2.jpg</t>
  </si>
  <si>
    <t>せい　せい悸　1679　鍼法奇貨　渡辺東伯_ページ_1.jpg</t>
  </si>
  <si>
    <t>せい　せい悸　1679　鍼法奇貨　渡辺東伯_ページ_2.jpg</t>
  </si>
  <si>
    <t>せい　せい悸　1679　鍼法奇貨　渡辺東伯_ページ_3.jpg</t>
  </si>
  <si>
    <t>せい　せい疾奇兪　1758　灸ぜつ塩土伝　三宅意安_ページ_1.jpg</t>
  </si>
  <si>
    <t>せい　せい疾奇兪　1758　灸ぜつ塩土伝　三宅意安_ページ_2.jpg</t>
  </si>
  <si>
    <t>せい　健忘　せいちゅう　1792　鍼法要集　源長起_ページ_1.jpg</t>
  </si>
  <si>
    <t>せい　健忘　せいちゅう　1792　鍼法要集　源長起_ページ_2.jpg</t>
  </si>
  <si>
    <t>せい　星翳（せいえい）　めぼし　角膜翳（かくまくえい）　1887（明治20）　鍼灸備要　青山道醇.jpg</t>
  </si>
  <si>
    <t>せい　清梯　1767　鍼灸則　菅沼周桂.jpg</t>
  </si>
  <si>
    <t>せい　精神恍惚　1912年（大正01）　鍼灸手引草　久木田七郎.jpg</t>
  </si>
  <si>
    <t>せい　精魅鬼神所淫　1226　備急灸法　宋・聞人耆年.jpg</t>
  </si>
  <si>
    <t>せい　青盲雀目　とりめ　1765　鍼法弁惑　藤井秀孟.jpg</t>
  </si>
  <si>
    <t>せい　青筋（せいきん）　1686　鍼灸要法指南　岩田利斎.jpg</t>
  </si>
  <si>
    <t>せい　青肓　1220　鍼灸資生経　王執中.jpg</t>
  </si>
  <si>
    <t>せき　積癖上衝　1765　鍼法弁惑　藤井秀孟.jpg</t>
  </si>
  <si>
    <t>せき　脊強反折　1315　鍼経摘英集　元・杜思敬「済生抜粋方」.jpg</t>
  </si>
  <si>
    <t>せき　脊痛　1767　鍼灸則　菅沼周桂.jpg</t>
  </si>
  <si>
    <t>せき　脊痛（余見腰脊風反張）　1220　鍼灸資生経　王執中.jpg</t>
  </si>
  <si>
    <t>せき　脊筋骨痛之針　1613　古今集鍼法　長生庵了味か.jpg</t>
  </si>
  <si>
    <t>せき　赤子甚泣　成書年未詳　灸穴集　著者未詳.jpg</t>
  </si>
  <si>
    <t>せき　赤白濁　小便の濁る病なり　1694　療治之大概集　杉山和一.jpg</t>
  </si>
  <si>
    <t>せき　赤白痢疾　成書年未詳　灸穴集　著者未詳.jpg</t>
  </si>
  <si>
    <t>せき　赤脈如血　1765　鍼法弁惑　藤井秀孟.jpg</t>
  </si>
  <si>
    <t>せつ　截瘧　1758　灸ぜつ塩土伝　三宅意安.jpg</t>
  </si>
  <si>
    <t>せつ　截瘧　おこり起きるに刺すべき妙術　1780　鍼灸極秘伝　木村太沖.jpg</t>
  </si>
  <si>
    <t>せつ　折傷　1693　鍼灸要歌集　安井昌玄_ページ_1.jpg</t>
  </si>
  <si>
    <t>せつ　折傷　1693　鍼灸要歌集　安井昌玄_ページ_2.jpg</t>
  </si>
  <si>
    <t>せつ　折傷　跌撲　1767　鍼灸則　菅沼周桂.jpg</t>
  </si>
  <si>
    <t>せつ　折傷　附　うちみ　落馬　1686　鍼灸要法指南　岩田利斎_ページ_1.jpg</t>
  </si>
  <si>
    <t>せつ　折傷　附　うちみ　落馬　1686　鍼灸要法指南　岩田利斎_ページ_2.jpg</t>
  </si>
  <si>
    <t>せつ　泄利　大便失禁　1813　名家灸選三編　平井庸信.jpg</t>
  </si>
  <si>
    <t>せつ　泄瀉　1329　洩瀉　扁鵲神応鍼灸玉龍経　元・王国瑞.jpg</t>
  </si>
  <si>
    <t>せつ　泄瀉　1563　陥下則灸之　鍼灸集要　曲直瀬道三.jpg</t>
  </si>
  <si>
    <t>せつ　泄瀉　1613　古今集鍼法　長生庵了味か.jpg</t>
  </si>
  <si>
    <t>せつ　泄瀉　1669　鍼灸枢要　山本玄通_ページ_1.jpg</t>
  </si>
  <si>
    <t>せつ　泄瀉　1669　鍼灸枢要　山本玄通_ページ_2.jpg</t>
  </si>
  <si>
    <t>せつ　泄瀉　1669　鍼灸枢要　山本玄通_ページ_3.jpg</t>
  </si>
  <si>
    <t>せつ　泄瀉　1669　鍼灸枢要　山本玄通_ページ_4.jpg</t>
  </si>
  <si>
    <t>せつ　泄瀉　1679　鍼法奇貨　渡辺東伯_ページ_1.jpg</t>
  </si>
  <si>
    <t>せつ　泄瀉　1679　鍼法奇貨　渡辺東伯_ページ_2.jpg</t>
  </si>
  <si>
    <t>せつ　泄瀉　1679　鍼法奇貨　渡辺東伯_ページ_3.jpg</t>
  </si>
  <si>
    <t>せつ　泄瀉　1679　鍼法奇貨　渡辺東伯_ページ_4.jpg</t>
  </si>
  <si>
    <t>せつ　泄瀉　1680　鍼灸抜萃　著者未詳.jpg</t>
  </si>
  <si>
    <t>せつ　泄瀉　1693　鍼灸要歌集　安井昌玄_ページ_1.jpg</t>
  </si>
  <si>
    <t>せつ　泄瀉　1693　鍼灸要歌集　安井昌玄_ページ_2.jpg</t>
  </si>
  <si>
    <t>せつ　泄瀉　1694　小児　さつさつと下る腹なり　療治之大概集　杉山和一.jpg</t>
  </si>
  <si>
    <t>せつ　泄瀉　1694　選鍼三要集　杉山和一.jpg</t>
  </si>
  <si>
    <t>せつ　泄瀉　1694　鍼灸そかい集　高津敬節_ページ_1.jpg</t>
  </si>
  <si>
    <t>せつ　泄瀉　1694　鍼灸そかい集　高津敬節_ページ_2.jpg</t>
  </si>
  <si>
    <t>せつ　泄瀉　1696　広益鍼灸抜萃　著者未詳_ページ_1.jpg</t>
  </si>
  <si>
    <t>せつ　泄瀉　1696　広益鍼灸抜萃　著者未詳_ページ_2.jpg</t>
  </si>
  <si>
    <t>せつ　泄瀉　1698　鍼灸抜粋大成　岡本一抱_ページ_1.jpg</t>
  </si>
  <si>
    <t>せつ　泄瀉　1698　鍼灸抜粋大成　岡本一抱_ページ_2.jpg</t>
  </si>
  <si>
    <t>せつ　泄瀉　1718　くだりはら　鍼灸重宝記　本郷正豊.jpg</t>
  </si>
  <si>
    <t>せつ　泄瀉　1767　鍼灸則　菅沼周桂.jpg</t>
  </si>
  <si>
    <t>せつ　泄瀉　1773　鍼灸手引草　大簡室主人_ページ_1.jpg</t>
  </si>
  <si>
    <t>せつ　泄瀉　1773　鍼灸手引草　大簡室主人_ページ_2.jpg</t>
  </si>
  <si>
    <t>せつ　泄瀉　1780　鍼灸極秘伝　木村太沖.jpg</t>
  </si>
  <si>
    <t>せつ　泄瀉　1785　鍼書　本城義軒.jpg</t>
  </si>
  <si>
    <t>せつ　泄瀉　1792　鍼法要集　源長起_ページ_1.jpg</t>
  </si>
  <si>
    <t>せつ　泄瀉　1792　鍼法要集　源長起_ページ_2.jpg</t>
  </si>
  <si>
    <t>せつ　泄瀉　1794　杉山流鍼術　島浦和田一_ページ_1.jpg</t>
  </si>
  <si>
    <t>せつ　泄瀉　1794　杉山流鍼術　島浦和田一_ページ_2.jpg</t>
  </si>
  <si>
    <t>せつ　泄瀉　1800　鍼灸備要　小坂元祐_ページ_1.jpg</t>
  </si>
  <si>
    <t>せつ　泄瀉　1800　鍼灸備要　小坂元祐_ページ_2.jpg</t>
  </si>
  <si>
    <t>せつ　泄瀉　1800　鍼灸備要　小坂元祐_ページ_3.jpg</t>
  </si>
  <si>
    <t>せつ　泄瀉　1800　鍼灸備要　小坂元祐_ページ_4.jpg</t>
  </si>
  <si>
    <t>せつ　泄瀉　成書年未詳　灸穴集　著者未詳_ページ_1.jpg</t>
  </si>
  <si>
    <t>せつ　泄瀉　成書年未詳　灸穴集　著者未詳_ページ_2.jpg</t>
  </si>
  <si>
    <t>せつ　泄瀉　成書年未詳　灸穴集　著者未詳_ページ_3.jpg</t>
  </si>
  <si>
    <t>せつ　泄瀉　成書年未詳　灸穴集　著者未詳_ページ_4.jpg</t>
  </si>
  <si>
    <t>せつ　泄瀉　成書年未詳　経穴図解　著者未詳_ページ_1.jpg</t>
  </si>
  <si>
    <t>せつ　泄瀉　成書年未詳　経穴図解　著者未詳_ページ_2.jpg</t>
  </si>
  <si>
    <t>せつ　泄瀉　腹の下る事　1694　療治之大概集　杉山和一.jpg</t>
  </si>
  <si>
    <t>せつ　泄瀉（せつしや）　くだりはら　腸加多児（カタル）　1887（明治20）　鍼灸備要　青山道醇_ページ_1.jpg</t>
  </si>
  <si>
    <t>せつ　泄瀉（せつしや）　くだりはら　腸加多児（カタル）　1887（明治20）　鍼灸備要　青山道醇_ページ_2.jpg</t>
  </si>
  <si>
    <t>せつ　泄瀉（余見吐瀉）　1220　鍼灸資生経　王執中.jpg</t>
  </si>
  <si>
    <t>せつ　泄痢　0650　千金方　孫思ばく_ページ_1.jpg</t>
  </si>
  <si>
    <t>せつ　泄痢　0650　千金方　孫思ばく_ページ_2.jpg</t>
  </si>
  <si>
    <t>せつ　泄痢　1686　鍼灸要法指南　岩田利斎_ページ_1.jpg</t>
  </si>
  <si>
    <t>せつ　泄痢　1686　鍼灸要法指南　岩田利斎_ページ_2.jpg</t>
  </si>
  <si>
    <t>せつ　諸々の泄瀉　1607　扁鵲新流鍼書　越齋寿閑.jpg</t>
  </si>
  <si>
    <t>せん　戦慄　1537　鍼灸聚英　明・高武_ページ_1.jpg</t>
  </si>
  <si>
    <t>せん　戦慄　1537　鍼灸聚英　明・高武_ページ_2.jpg</t>
  </si>
  <si>
    <t>せん　疝　1537　鍼灸聚英　明・高武.jpg</t>
  </si>
  <si>
    <t>せん　疝　1669　鍼灸枢要　山本玄通_ページ_01.jpg</t>
  </si>
  <si>
    <t>せん　疝　1669　鍼灸枢要　山本玄通_ページ_02.jpg</t>
  </si>
  <si>
    <t>せん　疝　1669　鍼灸枢要　山本玄通_ページ_03.jpg</t>
  </si>
  <si>
    <t>せん　疝　1669　鍼灸枢要　山本玄通_ページ_04.jpg</t>
  </si>
  <si>
    <t>せん　疝　1669　鍼灸枢要　山本玄通_ページ_05.jpg</t>
  </si>
  <si>
    <t>せん　疝　1669　鍼灸枢要　山本玄通_ページ_06.jpg</t>
  </si>
  <si>
    <t>せん　疝　1669　鍼灸枢要　山本玄通_ページ_07.jpg</t>
  </si>
  <si>
    <t>せん　疝　1669　鍼灸枢要　山本玄通_ページ_08.jpg</t>
  </si>
  <si>
    <t>せん　疝　1669　鍼灸枢要　山本玄通_ページ_09.jpg</t>
  </si>
  <si>
    <t>せん　疝　1669　鍼灸枢要　山本玄通_ページ_10.jpg</t>
  </si>
  <si>
    <t>せん　疝　1669　鍼灸枢要　山本玄通_ページ_11.jpg</t>
  </si>
  <si>
    <t>せん　疝　1669　鍼灸枢要　山本玄通_ページ_12.jpg</t>
  </si>
  <si>
    <t>せん　疝　1800　岡田流鍼術書　岡田見龍_ページ_1.jpg</t>
  </si>
  <si>
    <t>せん　疝　1800　岡田流鍼術書　岡田見龍_ページ_2.jpg</t>
  </si>
  <si>
    <t>せん　疝　1800　鍼灸備要　小坂元祐_ページ_1.jpg</t>
  </si>
  <si>
    <t>せん　疝　1800　鍼灸備要　小坂元祐_ページ_2.jpg</t>
  </si>
  <si>
    <t>せん　疝　1800　鍼灸備要　小坂元祐_ページ_3.jpg</t>
  </si>
  <si>
    <t>せん　疝　1800　鍼灸備要　小坂元祐_ページ_4.jpg</t>
  </si>
  <si>
    <t>せん　疝　1800　鍼灸備要　小坂元祐_ページ_5.jpg</t>
  </si>
  <si>
    <t>せん　疝　1800　鍼灸備要　小坂元祐_ページ_6.jpg</t>
  </si>
  <si>
    <t>せん　疝　1800　鍼灸備要　小坂元祐_ページ_7.jpg</t>
  </si>
  <si>
    <t>せん　疝か　1220　鍼灸資生経　王執中.jpg</t>
  </si>
  <si>
    <t>せん　疝か　1912年（大正01）　鍼灸手引草　久木田七郎.jpg</t>
  </si>
  <si>
    <t>せん　疝気-2　1758　灸ぜつ塩土伝　三宅意安.jpg</t>
  </si>
  <si>
    <t>せん　疝気　1329　扁鵲神応鍼灸玉龍経　元・王国瑞_ページ_1.jpg</t>
  </si>
  <si>
    <t>せん　疝気　1329　扁鵲神応鍼灸玉龍経　元・王国瑞_ページ_2.jpg</t>
  </si>
  <si>
    <t>せん　疝気　1563　鍼灸集要　曲直瀬道三.jpg</t>
  </si>
  <si>
    <t>せん　疝気　1574　兪穴参伍的法　秦宗巴.jpg</t>
  </si>
  <si>
    <t>せん　疝気　1624　類経図翼　明・張介賓.jpg</t>
  </si>
  <si>
    <t>せん　疝気　1624　類経図翼　明・張介賓_ページ_1.jpg</t>
  </si>
  <si>
    <t>せん　疝気　1624　類経図翼　明・張介賓_ページ_2.jpg</t>
  </si>
  <si>
    <t>せん　疝気　1680　鍼灸抜萃　著者未詳.jpg</t>
  </si>
  <si>
    <t>せん　疝気　1686　鍼灸要法指南　岩田利斎_ページ_1.jpg</t>
  </si>
  <si>
    <t>せん　疝気　1686　鍼灸要法指南　岩田利斎_ページ_2.jpg</t>
  </si>
  <si>
    <t>せん　疝気　1693　鍼灸要歌集　安井昌玄_ページ_1.jpg</t>
  </si>
  <si>
    <t>せん　疝気　1693　鍼灸要歌集　安井昌玄_ページ_2.jpg</t>
  </si>
  <si>
    <t>せん　疝気　1693　鍼灸要歌集　安井昌玄_ページ_3.jpg</t>
  </si>
  <si>
    <t>せん　疝気　1694　選鍼三要集　杉山和一.jpg</t>
  </si>
  <si>
    <t>せん　疝気　1694　鍼灸そかい集　高津敬節_ページ_1.jpg</t>
  </si>
  <si>
    <t>せん　疝気　1694　鍼灸そかい集　高津敬節_ページ_2.jpg</t>
  </si>
  <si>
    <t>せん　疝気　1696　広益鍼灸抜萃　著者未詳_ページ_1.jpg</t>
  </si>
  <si>
    <t>せん　疝気　1696　広益鍼灸抜萃　著者未詳_ページ_2.jpg</t>
  </si>
  <si>
    <t>せん　疝気　1698　鍼灸抜粋大成　岡本一抱_ページ_1.jpg</t>
  </si>
  <si>
    <t>せん　疝気　1698　鍼灸抜粋大成　岡本一抱_ページ_2.jpg</t>
  </si>
  <si>
    <t>せん　疝気　1703　鍼灸阿是要穴　岡本一抱_ページ_1.jpg</t>
  </si>
  <si>
    <t>せん　疝気　1703　鍼灸阿是要穴　岡本一抱_ページ_2.jpg</t>
  </si>
  <si>
    <t>せん　疝気　1758　灸ぜつ塩土伝　三宅意安.jpg</t>
  </si>
  <si>
    <t>せん　疝気　1767　鍼灸則　菅沼周桂_ページ_1.jpg</t>
  </si>
  <si>
    <t>せん　疝気　1767　鍼灸則　菅沼周桂_ページ_2.jpg</t>
  </si>
  <si>
    <t>せん　疝気　1773　鍼灸手引草　大簡室主人_ページ_1.jpg</t>
  </si>
  <si>
    <t>せん　疝気　1773　鍼灸手引草　大簡室主人_ページ_2.jpg</t>
  </si>
  <si>
    <t>せん　疝気　1773　鍼灸手引草　大簡室主人_ページ_3.jpg</t>
  </si>
  <si>
    <t>せん　疝気　1773　鍼灸手引草　大簡室主人_ページ_4.jpg</t>
  </si>
  <si>
    <t>せん　疝気　1785　鍼書　本城義軒_ページ_1.jpg</t>
  </si>
  <si>
    <t>せん　疝気　1785　鍼書　本城義軒_ページ_2.jpg</t>
  </si>
  <si>
    <t>せん　疝気　1792　鍼法要集　源長起_ページ_1.jpg</t>
  </si>
  <si>
    <t>せん　疝気　1792　鍼法要集　源長起_ページ_2.jpg</t>
  </si>
  <si>
    <t>せん　疝気　1807　続名家灸選　平井庸信_ページ_1.jpg</t>
  </si>
  <si>
    <t>せん　疝気　1807　続名家灸選　平井庸信_ページ_2.jpg</t>
  </si>
  <si>
    <t>せん　疝気　1813　名家灸選　浅井惟亨_ページ_1.jpg</t>
  </si>
  <si>
    <t>せん　疝気　1813　名家灸選　浅井惟亨_ページ_2.jpg</t>
  </si>
  <si>
    <t>せん　疝気　1813　名家灸選三編　平井庸信_ページ_1.jpg</t>
  </si>
  <si>
    <t>せん　疝気　1813　名家灸選三編　平井庸信_ページ_2.jpg</t>
  </si>
  <si>
    <t>せん　疝気　せんき　1718　鍼灸重宝記　本郷正豊.jpg</t>
  </si>
  <si>
    <t>せん　疝気　せんき、又、あたはら　腸神経痛　1887（明治20）　鍼灸備要　青山道醇.jpg</t>
  </si>
  <si>
    <t>せん　疝気　附　陰頭痛　并　陰腫挺出　成書年未詳　灸穴集　著者未詳_ページ_01.jpg</t>
  </si>
  <si>
    <t>せん　疝気　附　陰頭痛　并　陰腫挺出　成書年未詳　灸穴集　著者未詳_ページ_02.jpg</t>
  </si>
  <si>
    <t>せん　疝気　附　陰頭痛　并　陰腫挺出　成書年未詳　灸穴集　著者未詳_ページ_03.jpg</t>
  </si>
  <si>
    <t>せん　疝気　附　陰頭痛　并　陰腫挺出　成書年未詳　灸穴集　著者未詳_ページ_04.jpg</t>
  </si>
  <si>
    <t>せん　疝気　附　陰頭痛　并　陰腫挺出　成書年未詳　灸穴集　著者未詳_ページ_05.jpg</t>
  </si>
  <si>
    <t>せん　疝気　附　陰頭痛　并　陰腫挺出　成書年未詳　灸穴集　著者未詳_ページ_06.jpg</t>
  </si>
  <si>
    <t>せん　疝気　附　陰頭痛　并　陰腫挺出　成書年未詳　灸穴集　著者未詳_ページ_07.jpg</t>
  </si>
  <si>
    <t>せん　疝気　附　陰頭痛　并　陰腫挺出　成書年未詳　灸穴集　著者未詳_ページ_08.jpg</t>
  </si>
  <si>
    <t>せん　疝気　附　陰頭痛　并　陰腫挺出　成書年未詳　灸穴集　著者未詳_ページ_09.jpg</t>
  </si>
  <si>
    <t>せん　疝気　附　陰頭痛　并　陰腫挺出　成書年未詳　灸穴集　著者未詳_ページ_10.jpg</t>
  </si>
  <si>
    <t>せん　疝気　附　陰頭痛　并　陰腫挺出　成書年未詳　灸穴集　著者未詳_ページ_11.jpg</t>
  </si>
  <si>
    <t>せん　疝気上衝心　1800　岡田流鍼術書　岡田見龍_ページ_1.jpg</t>
  </si>
  <si>
    <t>せん　疝気上衝心　1800　岡田流鍼術書　岡田見龍_ページ_2.jpg</t>
  </si>
  <si>
    <t>せん　疝気之針穴　1613　古今集鍼法　長生庵了味か.jpg</t>
  </si>
  <si>
    <t>せん　疝気俄発陰嚢腫　1594　経脈方寸秘書　曲直瀬道三.jpg</t>
  </si>
  <si>
    <t>せん　疝気積　成書年未詳　経穴図解　著者未詳.jpg</t>
  </si>
  <si>
    <t>せん　疝遺溺りゅう　0300　●足厥陰脈動喜怒不時発疝遺溺りゅう　第十一　鍼灸甲乙経　皇甫謐_ページ_1.jpg</t>
  </si>
  <si>
    <t>せん　疝遺溺りゅう　0300　●足厥陰脈動喜怒不時発疝遺溺りゅう　第十一　鍼灸甲乙経　皇甫謐_ページ_2.jpg</t>
  </si>
  <si>
    <t>せん　疝遺溺りゅう　0300　●足厥陰脈動喜怒不時発疝遺溺りゅう　第十一　鍼灸甲乙経　皇甫謐_ページ_3.jpg</t>
  </si>
  <si>
    <t>せん　癬疥瘡　1220　鍼灸資生経　王執中_ページ_1.jpg</t>
  </si>
  <si>
    <t>せん　癬疥瘡　1220　鍼灸資生経　王執中_ページ_2.jpg</t>
  </si>
  <si>
    <t>せん　癬瘍妙　1758　灸ぜつ塩土伝　三宅意安_ページ_1.jpg</t>
  </si>
  <si>
    <t>せん　癬瘍妙　1758　灸ぜつ塩土伝　三宅意安_ページ_2.jpg</t>
  </si>
  <si>
    <t>せん　癬瘡　1807　続名家灸選　平井庸信.jpg</t>
  </si>
  <si>
    <t>せん　遺精　1574　兪穴参伍的法　秦宗巴.jpg</t>
  </si>
  <si>
    <t>せん　閃著腰疼錯，出気腰疼及本蔵気虚　1315　鍼経摘英集　元・杜思敬「済生抜粋方」_ページ_1.jpg</t>
  </si>
  <si>
    <t>せん　閃著腰疼錯，出気腰疼及本蔵気虚　1315　鍼経摘英集　元・杜思敬「済生抜粋方」_ページ_2.jpg</t>
  </si>
  <si>
    <t>ぜつ　小児の舌瘡　子どものしたにかさ出る時　1780　鍼灸極秘伝　木村太沖.jpg</t>
  </si>
  <si>
    <t>ぜつ　絶孕　1703　鍼灸阿是要穴　岡本一抱_ページ_1.jpg</t>
  </si>
  <si>
    <t>ぜつ　絶孕　1703　鍼灸阿是要穴　岡本一抱_ページ_2.jpg</t>
  </si>
  <si>
    <t>ぜつ　舌　1679　鍼法奇貨　渡辺東伯_ページ_1.jpg</t>
  </si>
  <si>
    <t>ぜつ　舌　1679　鍼法奇貨　渡辺東伯_ページ_2.jpg</t>
  </si>
  <si>
    <t>ぜつ　舌　1679　鍼法奇貨　渡辺東伯_ページ_3.jpg</t>
  </si>
  <si>
    <t>ぜつ　舌　1679　鍼法奇貨　渡辺東伯_ページ_4.jpg</t>
  </si>
  <si>
    <t>ぜつ　舌巻のう縮　1694　選鍼三要集　杉山和一.jpg</t>
  </si>
  <si>
    <t>ぜつ　舌強　1220　鍼灸資生経　王執中.jpg</t>
  </si>
  <si>
    <t>ぜつ　舌強　1299　続添要穴集　惟宗時俊.jpg</t>
  </si>
  <si>
    <t>ぜつ　舌強（したこわ）る　1887（明治20）　鍼灸備要　青山道醇.jpg</t>
  </si>
  <si>
    <t>ぜつ　舌根強急言語不爽　1765　鍼法弁惑　藤井秀孟_ページ_1.jpg</t>
  </si>
  <si>
    <t>ぜつ　舌根強急言語不爽　1765　鍼法弁惑　藤井秀孟_ページ_2.jpg</t>
  </si>
  <si>
    <t>ぜつ　舌疽　成書年未詳　灸穴集　著者未詳.jpg</t>
  </si>
  <si>
    <t>ぜつ　舌病　0650　千金方　孫思ばく.jpg</t>
  </si>
  <si>
    <t>ぜつ　舌病　1574　兪穴参伍的法　秦宗巴.jpg</t>
  </si>
  <si>
    <t>ぜつ　舌病　1718　鍼灸重宝記　本郷正豊_ページ_1.jpg</t>
  </si>
  <si>
    <t>ぜつ　舌病　1718　鍼灸重宝記　本郷正豊_ページ_2.jpg</t>
  </si>
  <si>
    <t>ぜつ　舌病　1773　鍼灸手引草　大簡室主人_ページ_1.jpg</t>
  </si>
  <si>
    <t>ぜつ　舌病　1773　鍼灸手引草　大簡室主人_ページ_2.jpg</t>
  </si>
  <si>
    <t>ぜつ　舌緩不語　1765　鍼法弁惑　藤井秀孟.jpg</t>
  </si>
  <si>
    <t>ぜつ　舌緩（ゆるむ）　1887（明治20）　鍼灸備要　青山道醇.jpg</t>
  </si>
  <si>
    <t>ぜつ　舌腫　舌はれて痛む病　舌炎、又、舌きん（ぜつきん）　1887（明治20）　鍼灸備要　青山道醇.jpg</t>
  </si>
  <si>
    <t>ぜん　前陰腫痛　まへのはれていたむやまひ　太陰唇結締織炎　1887（明治20）　鍼灸備要　青山道醇.jpg</t>
  </si>
  <si>
    <t>ぜん　前陰諸疾　1669　鍼灸枢要　山本玄通_ページ_1.jpg</t>
  </si>
  <si>
    <t>ぜん　前陰諸疾　1669　鍼灸枢要　山本玄通_ページ_2.jpg</t>
  </si>
  <si>
    <t>ぜん　前陰諸疾　1669　鍼灸枢要　山本玄通_ページ_3.jpg</t>
  </si>
  <si>
    <t>ぜん　前陰諸疾　1669　鍼灸枢要　山本玄通_ページ_4.jpg</t>
  </si>
  <si>
    <t>ぜん　前陰諸疾　1669　鍼灸枢要　山本玄通_ページ_5.jpg</t>
  </si>
  <si>
    <t>ぜん　善大息　1694　選鍼三要集　杉山和一.jpg</t>
  </si>
  <si>
    <t>ぜん　善大息　1800　鍼灸備要　小坂元祐.jpg</t>
  </si>
  <si>
    <t>ぜん　善忘　1669　鍼灸枢要　山本玄通_ページ_1.jpg</t>
  </si>
  <si>
    <t>ぜん　善忘　1669　鍼灸枢要　山本玄通_ページ_2.jpg</t>
  </si>
  <si>
    <t>ぜん　善忘　1800　鍼灸備要　小坂元祐.jpg</t>
  </si>
  <si>
    <t>ぜん　善怒　1669　鍼灸枢要　山本玄通_ページ_1.jpg</t>
  </si>
  <si>
    <t>ぜん　善怒　1669　鍼灸枢要　山本玄通_ページ_2.jpg</t>
  </si>
  <si>
    <t>ぜん　善怒　1800　鍼灸備要　小坂元祐.jpg</t>
  </si>
  <si>
    <t>ぜん　善恐　1669　鍼灸枢要　山本玄通_ページ_1.jpg</t>
  </si>
  <si>
    <t>ぜん　善恐　1669　鍼灸枢要　山本玄通_ページ_2.jpg</t>
  </si>
  <si>
    <t>ぜん　善恐　1800　鍼灸備要　小坂元祐.jpg</t>
  </si>
  <si>
    <t>ぜん　善悲　1669　鍼灸枢要　山本玄通_ページ_1.jpg</t>
  </si>
  <si>
    <t>ぜん　善悲　1669　鍼灸枢要　山本玄通_ページ_2.jpg</t>
  </si>
  <si>
    <t>ぜん　善悲　1694　選鍼三要集　杉山和一.jpg</t>
  </si>
  <si>
    <t>ぜん　善悲　1800　鍼灸備要　小坂元祐.jpg</t>
  </si>
  <si>
    <t>ぜん　善笑　1669　鍼灸枢要　山本玄通.jpg</t>
  </si>
  <si>
    <t>ぜん　善笑　1800　鍼灸備要　小坂元祐.jpg</t>
  </si>
  <si>
    <t>ぜん　喘　1220　鍼灸資生経　王執中_ページ_1.jpg</t>
  </si>
  <si>
    <t>ぜん　喘　1220　鍼灸資生経　王執中_ページ_2.jpg</t>
  </si>
  <si>
    <t>ぜん　喘　1220　鍼灸資生経　王執中_ページ_3.jpg</t>
  </si>
  <si>
    <t>ぜん　喘　1329　扁鵲神応鍼灸玉龍経　元・王国瑞_ページ_1.jpg</t>
  </si>
  <si>
    <t>ぜん　喘　1329　扁鵲神応鍼灸玉龍経　元・王国瑞_ページ_2.jpg</t>
  </si>
  <si>
    <t>ぜん　喘　1537　鍼灸聚英　明・高武.jpg</t>
  </si>
  <si>
    <t>ぜん　喘　1594　鍼灸集要　曲直瀬道三_ページ_1.jpg</t>
  </si>
  <si>
    <t>ぜん　喘　1594　鍼灸集要　曲直瀬道三_ページ_2.jpg</t>
  </si>
  <si>
    <t>ぜん　喘　1800　鍼灸備要　小坂元祐_ページ_1.jpg</t>
  </si>
  <si>
    <t>ぜん　喘　1800　鍼灸備要　小坂元祐_ページ_2.jpg</t>
  </si>
  <si>
    <t>ぜん　喘　附 吼喘　1669　鍼灸枢要　山本玄通_ページ_1.jpg</t>
  </si>
  <si>
    <t>ぜん　喘　附 吼喘　1669　鍼灸枢要　山本玄通_ページ_2.jpg</t>
  </si>
  <si>
    <t>ぜん　喘　附 吼喘　1669　鍼灸枢要　山本玄通_ページ_3.jpg</t>
  </si>
  <si>
    <t>ぜん　喘　附 吼喘　1669　鍼灸枢要　山本玄通_ページ_4.jpg</t>
  </si>
  <si>
    <t>ぜん　喘　附 吼喘　1669　鍼灸枢要　山本玄通_ページ_5.jpg</t>
  </si>
  <si>
    <t>ぜん　喘　附 吼喘　1669　鍼灸枢要　山本玄通_ページ_6.jpg</t>
  </si>
  <si>
    <t>ぜん　喘　附 吼喘　1669　鍼灸枢要　山本玄通_ページ_7.jpg</t>
  </si>
  <si>
    <t>ぜん　喘促　ぜり、すたき　1718　鍼灸重宝記　本郷正豊.jpg</t>
  </si>
  <si>
    <t>ぜん　喘促　急迫　ぜんそく、かたにていきする人　1780　鍼灸極秘伝　木村太沖.jpg</t>
  </si>
  <si>
    <t>ぜん　喘急　1680　鍼灸抜萃　著者未詳.jpg</t>
  </si>
  <si>
    <t>ぜん　喘急　1693　鍼灸要歌集　安井昌玄_ページ_1.jpg</t>
  </si>
  <si>
    <t>ぜん　喘急　1693　鍼灸要歌集　安井昌玄_ページ_2.jpg</t>
  </si>
  <si>
    <t>ぜん　喘急　1694　鍼灸そかい集　高津敬節_ページ_1.jpg</t>
  </si>
  <si>
    <t>ぜん　喘急　1694　鍼灸そかい集　高津敬節_ページ_2.jpg</t>
  </si>
  <si>
    <t>ぜん　喘急　1696　広益鍼灸抜萃　著者未詳_ページ_1.jpg</t>
  </si>
  <si>
    <t>ぜん　喘急　1696　広益鍼灸抜萃　著者未詳_ページ_2.jpg</t>
  </si>
  <si>
    <t>ぜん　喘急　1696　広益鍼灸抜萃　著者未詳_ページ_3.jpg</t>
  </si>
  <si>
    <t>ぜん　喘急　1758　灸ぜつ塩土伝　三宅意安_ページ_1.jpg</t>
  </si>
  <si>
    <t>ぜん　喘急　1758　灸ぜつ塩土伝　三宅意安_ページ_2.jpg</t>
  </si>
  <si>
    <t>ぜん　喘急　1767　鍼灸則　菅沼周桂_ページ_1.jpg</t>
  </si>
  <si>
    <t>ぜん　喘急　1767　鍼灸則　菅沼周桂_ページ_2.jpg</t>
  </si>
  <si>
    <t>ぜん　喘急　1773　鍼灸手引草　大簡室主人_ページ_1.jpg</t>
  </si>
  <si>
    <t>ぜん　喘急　1773　鍼灸手引草　大簡室主人_ページ_2.jpg</t>
  </si>
  <si>
    <t>ぜん　喘急　1792　鍼法要集　源長起_ページ_1.jpg</t>
  </si>
  <si>
    <t>ぜん　喘急　1792　鍼法要集　源長起_ページ_2.jpg</t>
  </si>
  <si>
    <t>ぜん　喘急　喘息なり　1694　療治之大概集　杉山和一.jpg</t>
  </si>
  <si>
    <t>ぜん　喘急　成書年未詳　灸穴集　著者未詳_ページ_01.jpg</t>
  </si>
  <si>
    <t>ぜん　喘急　成書年未詳　灸穴集　著者未詳_ページ_02.jpg</t>
  </si>
  <si>
    <t>ぜん　喘急　成書年未詳　灸穴集　著者未詳_ページ_03.jpg</t>
  </si>
  <si>
    <t>ぜん　喘急　成書年未詳　灸穴集　著者未詳_ページ_04.jpg</t>
  </si>
  <si>
    <t>ぜん　喘急　成書年未詳　灸穴集　著者未詳_ページ_05.jpg</t>
  </si>
  <si>
    <t>ぜん　喘急　成書年未詳　灸穴集　著者未詳_ページ_06.jpg</t>
  </si>
  <si>
    <t>ぜん　喘急　成書年未詳　灸穴集　著者未詳_ページ_07.jpg</t>
  </si>
  <si>
    <t>ぜん　喘急　成書年未詳　灸穴集　著者未詳_ページ_08.jpg</t>
  </si>
  <si>
    <t>ぜん　喘急　成書年未詳　灸穴集　著者未詳_ページ_09.jpg</t>
  </si>
  <si>
    <t>ぜん　喘急　成書年未詳　灸穴集　著者未詳_ページ_10.jpg</t>
  </si>
  <si>
    <t>ぜん　喘急咳嗽　1813　名家灸選　浅井惟亨_ページ_1.jpg</t>
  </si>
  <si>
    <t>ぜん　喘急咳嗽　1813　名家灸選　浅井惟亨_ページ_2.jpg</t>
  </si>
  <si>
    <t>ぜん　喘急咳嗽　1813　名家灸選　浅井惟亨_ページ_3.jpg</t>
  </si>
  <si>
    <t>ぜん　喘急妙灸　1594　経脈方寸秘書　曲直瀬道三.jpg</t>
  </si>
  <si>
    <t>ぜん　喘息-02　1758　灸ぜつ塩土伝　三宅意安_ページ_1.jpg</t>
  </si>
  <si>
    <t>ぜん　喘息-02　1758　灸ぜつ塩土伝　三宅意安_ページ_2.jpg</t>
  </si>
  <si>
    <t>ぜん　喘息　1574　兪穴参伍的法　秦宗巴.jpg</t>
  </si>
  <si>
    <t>ぜん　喘息　1607　扁鵲新流鍼書　越齋寿閑.jpg</t>
  </si>
  <si>
    <t>ぜん　喘息　1679　鍼法奇貨　渡辺東伯_ページ_1.jpg</t>
  </si>
  <si>
    <t>ぜん　喘息　1679　鍼法奇貨　渡辺東伯_ページ_2.jpg</t>
  </si>
  <si>
    <t>ぜん　喘息　1679　鍼法奇貨　渡辺東伯_ページ_3.jpg</t>
  </si>
  <si>
    <t>ぜん　喘息　1679　鍼法奇貨　渡辺東伯_ページ_4.jpg</t>
  </si>
  <si>
    <t>ぜん　喘息　1679　鍼法奇貨　渡辺東伯_ページ_5.jpg</t>
  </si>
  <si>
    <t>ぜん　喘息　1694　諸喘息　選鍼三要集　杉山和一.jpg</t>
  </si>
  <si>
    <t>ぜん　喘息　1698　鍼灸抜粋大成　岡本一抱.jpg</t>
  </si>
  <si>
    <t>ぜん　喘息　1758　喘息奇兪　灸ぜつ塩土伝　三宅意安.jpg</t>
  </si>
  <si>
    <t>ぜん　喘息　1758　灸ぜつ塩土伝　三宅意安_ページ_1.jpg</t>
  </si>
  <si>
    <t>ぜん　喘息　1758　灸ぜつ塩土伝　三宅意安_ページ_2.jpg</t>
  </si>
  <si>
    <t>ぜん　喘息　1758　灸ぜつ塩土伝　三宅意安_ページ_3.jpg</t>
  </si>
  <si>
    <t>ぜん　喘息　1794　杉山流鍼術　島浦和田一_ページ_1.jpg</t>
  </si>
  <si>
    <t>ぜん　喘息　1794　杉山流鍼術　島浦和田一_ページ_2.jpg</t>
  </si>
  <si>
    <t>ぜん　喘息　1912年（大正01）　鍼灸手引草　久木田七郎_ページ_1.jpg</t>
  </si>
  <si>
    <t>ぜん　喘息　1912年（大正01）　鍼灸手引草　久木田七郎_ページ_2.jpg</t>
  </si>
  <si>
    <t>ぜん　喘息　成書年未詳　経穴図解　著者未詳.jpg</t>
  </si>
  <si>
    <t>ぜん　喘息妙　1758　灸ぜつ塩土伝　三宅意安_ページ_1.jpg</t>
  </si>
  <si>
    <t>ぜん　喘息妙　1758　灸ぜつ塩土伝　三宅意安_ページ_2.jpg</t>
  </si>
  <si>
    <t>そう　そう理　1220　鍼灸資生経　王執中.jpg</t>
  </si>
  <si>
    <t>そう　そう雑　1669　鍼灸枢要　山本玄通.jpg</t>
  </si>
  <si>
    <t>そう　そう雑　1767　鍼灸則　菅沼周桂.jpg</t>
  </si>
  <si>
    <t>そう　そう雑　1792　鍼法要集　源長起.jpg</t>
  </si>
  <si>
    <t>そう　創身半以上者　1765　鍼法弁惑　藤井秀孟.jpg</t>
  </si>
  <si>
    <t>そう　創身半以下者　1765　鍼法弁惑　藤井秀孟.jpg</t>
  </si>
  <si>
    <t>そう　早瘡　はやくさとて大切の症なり　1780　鍼灸極秘伝　木村太沖.jpg</t>
  </si>
  <si>
    <t>そう　瘡　1758　大人小児頭面瘡　灸ぜつ塩土伝　三宅意安_ページ_1.jpg</t>
  </si>
  <si>
    <t>そう　瘡　1758　大人小児頭面瘡　灸ぜつ塩土伝　三宅意安_ページ_2.jpg</t>
  </si>
  <si>
    <t>そう　瘡　玉機微義針灸証治　1537　鍼灸聚英　明・高武_ページ_1.jpg</t>
  </si>
  <si>
    <t>そう　瘡　玉機微義針灸証治　1537　鍼灸聚英　明・高武_ページ_2.jpg</t>
  </si>
  <si>
    <t>そう　瘡　玉機微義針灸証治　1537　鍼灸聚英　明・高武_ページ_3.jpg</t>
  </si>
  <si>
    <t>そう　瘡　玉機微義針灸証治　1537　鍼灸聚英　明・高武_ページ_4.jpg</t>
  </si>
  <si>
    <t>そう　瘡毒部　1425　神応経　明・陳会撰・劉瑾重校_ページ_1.jpg</t>
  </si>
  <si>
    <t>そう　瘡毒部　1425　神応経　明・陳会撰・劉瑾重校_ページ_2.jpg</t>
  </si>
  <si>
    <t>そう　瘡疥　成書年未詳　灸穴集　著者未詳_ページ_1.jpg</t>
  </si>
  <si>
    <t>そう　瘡疥　成書年未詳　灸穴集　著者未詳_ページ_2.jpg</t>
  </si>
  <si>
    <t>そう　瘡疥　成書年未詳　灸穴集　著者未詳_ページ_3.jpg</t>
  </si>
  <si>
    <t>そう　瘡疥　成書年未詳　灸穴集　著者未詳_ページ_4.jpg</t>
  </si>
  <si>
    <t>そう　瘡瘍　1537　鍼灸聚英　明・高武.jpg</t>
  </si>
  <si>
    <t>そう　瘡瘍　1694　鍼灸そかい集　高津敬節.jpg</t>
  </si>
  <si>
    <t>そう　瘡瘍　1698　鍼灸抜粋大成　岡本一抱_ページ_1.jpg</t>
  </si>
  <si>
    <t>そう　瘡瘍　1698　鍼灸抜粋大成　岡本一抱_ページ_2.jpg</t>
  </si>
  <si>
    <t>そう　瘡瘍　1807　続名家灸選　平井庸信_ページ_1.jpg</t>
  </si>
  <si>
    <t>そう　瘡瘍　1807　続名家灸選　平井庸信_ページ_2.jpg</t>
  </si>
  <si>
    <t>そう　瘡瘍　1807　続名家灸選　平井庸信_ページ_3.jpg</t>
  </si>
  <si>
    <t>そう　瘡瘍　1813　名家灸選　浅井惟亨_ページ_1.jpg</t>
  </si>
  <si>
    <t>そう　瘡瘍　1813　名家灸選　浅井惟亨_ページ_2.jpg</t>
  </si>
  <si>
    <t>そう　瘡瘍　1813　名家灸選　浅井惟亨_ページ_3.jpg</t>
  </si>
  <si>
    <t>そう　瘡瘍　1813　名家灸選　浅井惟亨_ページ_4.jpg</t>
  </si>
  <si>
    <t>そう　瘡瘍　1813　名家灸選三編　平井庸信_ページ_1.jpg</t>
  </si>
  <si>
    <t>そう　瘡瘍　1813　名家灸選三編　平井庸信_ページ_2.jpg</t>
  </si>
  <si>
    <t>そう　瘡瘍　1813　名家灸選三編　平井庸信_ページ_3.jpg</t>
  </si>
  <si>
    <t>そう　瘡瘍　1813　名家灸選三編　平井庸信_ページ_4.jpg</t>
  </si>
  <si>
    <t>そう　瘡瘍　1813　名家灸選三編　平井庸信_ページ_5.jpg</t>
  </si>
  <si>
    <t>そう　瘡腫、雁瘡、諸瘡之事　1780　鍼灸極秘伝　木村太沖.jpg</t>
  </si>
  <si>
    <t>そう　諸瘡　1537　鍼灸聚英　明・高武.jpg</t>
  </si>
  <si>
    <t>そう　諸瘡　1537　鍼灸聚英　明・高武_ページ_1.jpg</t>
  </si>
  <si>
    <t>そう　諸瘡　1537　鍼灸聚英　明・高武_ページ_2.jpg</t>
  </si>
  <si>
    <t>そう　諸瘡三体奇兪　1703　鍼灸阿是要穴　岡本一抱_ページ_1.jpg</t>
  </si>
  <si>
    <t>そう　諸瘡三体奇兪　1703　鍼灸阿是要穴　岡本一抱_ページ_2.jpg</t>
  </si>
  <si>
    <t>そう　諸瘡三体奇兪　1758　灸ぜつ塩土伝　三宅意安_ページ_1.jpg</t>
  </si>
  <si>
    <t>そう　諸瘡三体奇兪　1758　灸ぜつ塩土伝　三宅意安_ページ_2.jpg</t>
  </si>
  <si>
    <t>そう　諸瘡三体奇兪　1758　灸ぜつ塩土伝　三宅意安_ページ_3.jpg</t>
  </si>
  <si>
    <t>そう　諸瘡三体奇兪　1758　灸ぜつ塩土伝　三宅意安_ページ_4.jpg</t>
  </si>
  <si>
    <t>そう　諸瘡八処　1758　灸ぜつ塩土伝　三宅意安_ページ_1.jpg</t>
  </si>
  <si>
    <t>そう　諸瘡八処　1758　灸ぜつ塩土伝　三宅意安_ページ_2.jpg</t>
  </si>
  <si>
    <t>そう　諸瘡八処　1758　灸ぜつ塩土伝　三宅意安_ページ_3.jpg</t>
  </si>
  <si>
    <t>そう　諸瘡八処　1758　灸ぜつ塩土伝　三宅意安_ページ_4.jpg</t>
  </si>
  <si>
    <t>そう　走馬下疳　1686　鍼灸要法指南　岩田利斎.jpg</t>
  </si>
  <si>
    <t>そう　走馬下疳妙灸　1594　経脈方寸秘書　曲直瀬道三.jpg</t>
  </si>
  <si>
    <t>そく　息肉　1765　鍼法弁惑　藤井秀孟_ページ_1.jpg</t>
  </si>
  <si>
    <t>そく　息肉　1765　鍼法弁惑　藤井秀孟_ページ_2.jpg</t>
  </si>
  <si>
    <t>そく　息胞　いなひかえる　胞衣不下　1887（明治20）　鍼灸備要　青山道醇.jpg</t>
  </si>
  <si>
    <t>そく　足　1800　鍼灸備要　小坂元祐_ページ_1.jpg</t>
  </si>
  <si>
    <t>そく　足　1800　鍼灸備要　小坂元祐_ページ_2.jpg</t>
  </si>
  <si>
    <t>そく　足　1800　鍼灸備要　小坂元祐_ページ_3.jpg</t>
  </si>
  <si>
    <t>そく　足　1800　鍼灸備要　小坂元祐_ページ_4.jpg</t>
  </si>
  <si>
    <t>そく　足　脚気　膝痛　1669　鍼灸枢要　山本玄通_ページ_01.jpg</t>
  </si>
  <si>
    <t>そく　足　脚気　膝痛　1669　鍼灸枢要　山本玄通_ページ_02.jpg</t>
  </si>
  <si>
    <t>そく　足　脚気　膝痛　1669　鍼灸枢要　山本玄通_ページ_03.jpg</t>
  </si>
  <si>
    <t>そく　足　脚気　膝痛　1669　鍼灸枢要　山本玄通_ページ_04.jpg</t>
  </si>
  <si>
    <t>そく　足　脚気　膝痛　1669　鍼灸枢要　山本玄通_ページ_05.jpg</t>
  </si>
  <si>
    <t>そく　足　脚気　膝痛　1669　鍼灸枢要　山本玄通_ページ_06.jpg</t>
  </si>
  <si>
    <t>そく　足　脚気　膝痛　1669　鍼灸枢要　山本玄通_ページ_07.jpg</t>
  </si>
  <si>
    <t>そく　足　脚気　膝痛　1669　鍼灸枢要　山本玄通_ページ_08.jpg</t>
  </si>
  <si>
    <t>そく　足　脚気　膝痛　1669　鍼灸枢要　山本玄通_ページ_09.jpg</t>
  </si>
  <si>
    <t>そく　足　脚気　膝痛　1669　鍼灸枢要　山本玄通_ページ_10.jpg</t>
  </si>
  <si>
    <t>そく　足　脚気　膝痛　1669　鍼灸枢要　山本玄通_ページ_11.jpg</t>
  </si>
  <si>
    <t>そく　足　脚気　膝痛　1669　鍼灸枢要　山本玄通_ページ_12.jpg</t>
  </si>
  <si>
    <t>そく　足　脚気　膝痛　1669　鍼灸枢要　山本玄通_ページ_13.jpg</t>
  </si>
  <si>
    <t>そく　足　脚気　膝痛　1669　鍼灸枢要　山本玄通_ページ_14.jpg</t>
  </si>
  <si>
    <t>そく　足しゅう　1299　続添要穴集　惟宗時俊.jpg</t>
  </si>
  <si>
    <t>そく　足の冷え又は熱する病　1912年（大正01）　鍼灸手引草　久木田七郎.jpg</t>
  </si>
  <si>
    <t>そく　足の冷え又は熱する病　1912年（大正01）　鍼灸手引草　久木田七郎_ページ_1.jpg</t>
  </si>
  <si>
    <t>そく　足の冷え又は熱する病　1912年（大正01）　鍼灸手引草　久木田七郎_ページ_2.jpg</t>
  </si>
  <si>
    <t>そく　足下熱　1299　続添要穴集　惟宗時俊.jpg</t>
  </si>
  <si>
    <t>そく　足不能行　1220　鍼灸資生経　王執中_ページ_1.jpg</t>
  </si>
  <si>
    <t>そく　足不能行　1220　鍼灸資生経　王執中_ページ_2.jpg</t>
  </si>
  <si>
    <t>そく　足之病　1792　鍼法要集　源長起.jpg</t>
  </si>
  <si>
    <t>そく　足寒　1299　続添要穴集　惟宗時俊.jpg</t>
  </si>
  <si>
    <t>そく　足寒熱　1220　鍼灸資生経　王執中.jpg</t>
  </si>
  <si>
    <t>そく　足後節痛針穴　1613　古今集鍼法　長生庵了味か.jpg</t>
  </si>
  <si>
    <t>そく　足痛　1767　鍼灸則　菅沼周桂.jpg</t>
  </si>
  <si>
    <t>そく　足雑病　1220　鍼灸資生経　王執中_ページ_1.jpg</t>
  </si>
  <si>
    <t>そく　足雑病　1220　鍼灸資生経　王執中_ページ_2.jpg</t>
  </si>
  <si>
    <t>そく　足麻　不仁　1220　鍼灸資生経　王執中.jpg</t>
  </si>
  <si>
    <t>そく　足麻痺歩行不能　1912年（大正01）　鍼灸手引草　久木田七郎.jpg</t>
  </si>
  <si>
    <t>そつ　卒中風　1807　続名家灸選　平井庸信_ページ_1.jpg</t>
  </si>
  <si>
    <t>そつ　卒中風　1807　続名家灸選　平井庸信_ページ_2.jpg</t>
  </si>
  <si>
    <t>そつ　卒中風、人事を知らず、牙関緊急す　そっちゅう風、正体なく、はをくいしめたる人　1780　鍼灸極秘伝　木村太沖.jpg</t>
  </si>
  <si>
    <t>そつ　卒中風（そつちうふ）　そつちう　全発卒中　1887（明治20）　鍼灸備要　青山道醇_ページ_1.jpg</t>
  </si>
  <si>
    <t>そつ　卒中風（そつちうふ）　そつちう　全発卒中　1887（明治20）　鍼灸備要　青山道醇_ページ_2.jpg</t>
  </si>
  <si>
    <t>そつ　卒厥　青筋　中悪　1807　続名家灸選　平井庸信_ページ_1.jpg</t>
  </si>
  <si>
    <t>そつ　卒厥　青筋　中悪　1807　続名家灸選　平井庸信_ページ_2.jpg</t>
  </si>
  <si>
    <t>そつ　卒厥　青筋　中悪　1807　続名家灸選　平井庸信_ページ_3.jpg</t>
  </si>
  <si>
    <t>そつ　卒厥不省人事　1765　鍼法弁惑　藤井秀孟.jpg</t>
  </si>
  <si>
    <t>そつ　卒心痛不可忍　1315　鍼経摘英集　元・杜思敬「済生抜粋方」_ページ_1.jpg</t>
  </si>
  <si>
    <t>そつ　卒心痛不可忍　1315　鍼経摘英集　元・杜思敬「済生抜粋方」_ページ_2.jpg</t>
  </si>
  <si>
    <t>そつ　卒忤死法　1226　備急灸法　宋・聞人耆年_ページ_1.jpg</t>
  </si>
  <si>
    <t>そつ　卒忤死法　1226　備急灸法　宋・聞人耆年_ページ_2.jpg</t>
  </si>
  <si>
    <t>そつ　卒暴心痛　1226　備急灸法　宋・聞人耆年.jpg</t>
  </si>
  <si>
    <t>そつ　卒死客忤（ソツシカクゴ）　とんし　卒死　1887（明治20）　鍼灸備要　青山道醇_ページ_1.jpg</t>
  </si>
  <si>
    <t>そつ　卒死客忤（ソツシカクゴ）　とんし　卒死　1887（明治20）　鍼灸備要　青山道醇_ページ_2.jpg</t>
  </si>
  <si>
    <t>そつ　卒死暴絶　成書年未詳　灸穴集　著者未詳.jpg</t>
  </si>
  <si>
    <t>そん　そん泄　1220　鍼灸資生経　王執中_ページ_1.jpg</t>
  </si>
  <si>
    <t>そん　そん泄　1220　鍼灸資生経　王執中_ページ_2.jpg</t>
  </si>
  <si>
    <t>そん　損傷　1773　鍼灸手引草　大簡室主人.jpg</t>
  </si>
  <si>
    <t>そん　損傷　そこなひやぶる　1718　鍼灸重宝記　本郷正豊.jpg</t>
  </si>
  <si>
    <t>そん　損傷　玉機微義針灸証治　1537　鍼灸聚英　明・高武_ページ_1.jpg</t>
  </si>
  <si>
    <t>そん　損傷　玉機微義針灸証治　1537　鍼灸聚英　明・高武_ページ_2.jpg</t>
  </si>
  <si>
    <t>ぞう　蔵躁病　しきうしやく　子宮痙攣　1887（明治20）　鍼灸備要　青山道醇.jpg</t>
  </si>
  <si>
    <t>た　多寐　1669　鍼灸枢要　山本玄通_ページ_1.jpg</t>
  </si>
  <si>
    <t>た　多寐　1669　鍼灸枢要　山本玄通_ページ_2.jpg</t>
  </si>
  <si>
    <t>たい　たい　1563　鍼灸集要　曲直瀬道三.jpg</t>
  </si>
  <si>
    <t>たい　たい疝　0650　千金方　孫思ばく_ページ_1.jpg</t>
  </si>
  <si>
    <t>たい　たい疝　0650　千金方　孫思ばく_ページ_2.jpg</t>
  </si>
  <si>
    <t>たい　たい疝　0650　千金方　孫思ばく_ページ_3.jpg</t>
  </si>
  <si>
    <t>たい　たい疝　1220　鍼灸資生経　王執中_ページ_1.jpg</t>
  </si>
  <si>
    <t>たい　たい疝　1220　鍼灸資生経　王執中_ページ_2.jpg</t>
  </si>
  <si>
    <t>たい　たい疝　1220　鍼灸資生経　王執中_ページ_3.jpg</t>
  </si>
  <si>
    <t>たい　たい疝　1220　鍼灸資生経　王執中_ページ_4.jpg</t>
  </si>
  <si>
    <t>たい　たい疝　1912年（大正01）　鍼灸手引草　久木田七郎_ページ_1.jpg</t>
  </si>
  <si>
    <t>たい　たい疝　1912年（大正01）　鍼灸手引草　久木田七郎_ページ_2.jpg</t>
  </si>
  <si>
    <t>たい　たい疝偏大　1703　鍼灸阿是要穴　岡本一抱.jpg</t>
  </si>
  <si>
    <t>たい　体気　わきが　1686　鍼灸要法指南　岩田利斎.jpg</t>
  </si>
  <si>
    <t>たい　善太息　1669　鍼灸枢要　山本玄通_ページ_1.jpg</t>
  </si>
  <si>
    <t>たい　善太息　1669　鍼灸枢要　山本玄通_ページ_2.jpg</t>
  </si>
  <si>
    <t>たい　太陽少陽併病　1537　鍼灸聚英　明・高武.jpg</t>
  </si>
  <si>
    <t>たい　帯下　1220　赤白帯　鍼灸資生経　王執中_ページ_1.jpg</t>
  </si>
  <si>
    <t>たい　帯下　1220　赤白帯　鍼灸資生経　王執中_ページ_2.jpg</t>
  </si>
  <si>
    <t>たい　帯下　1329　白帯　扁鵲神応鍼灸玉龍経　元・王国瑞_ページ_1.jpg</t>
  </si>
  <si>
    <t>たい　帯下　1329　白帯　扁鵲神応鍼灸玉龍経　元・王国瑞_ページ_2.jpg</t>
  </si>
  <si>
    <t>たい　帯下　1669　赤白帯下　鍼灸枢要　山本玄通_ページ_1.jpg</t>
  </si>
  <si>
    <t>たい　帯下　1669　赤白帯下　鍼灸枢要　山本玄通_ページ_2.jpg</t>
  </si>
  <si>
    <t>たい　帯下　1669　赤白帯下　鍼灸枢要　山本玄通_ページ_3.jpg</t>
  </si>
  <si>
    <t>たい　帯下　1669　赤白帯下　鍼灸枢要　山本玄通_ページ_4.jpg</t>
  </si>
  <si>
    <t>たい　帯下　1693　赤白帯下　鍼灸要歌集　安井昌玄.jpg</t>
  </si>
  <si>
    <t>たい　帯下　1758　婦人赤白帯下　灸ぜつ塩土伝　三宅意安_ページ_1.jpg</t>
  </si>
  <si>
    <t>たい　帯下　1758　婦人赤白帯下　灸ぜつ塩土伝　三宅意安_ページ_2.jpg</t>
  </si>
  <si>
    <t>たい　帯下　1758　婦人赤白帯下　灸ぜつ塩土伝　三宅意安_ページ_3.jpg</t>
  </si>
  <si>
    <t>たい　帯下　1758　婦人赤白帯下　灸ぜつ塩土伝　三宅意安_ページ_4.jpg</t>
  </si>
  <si>
    <t>たい　帯下　1758　灸ぜつ塩土伝　三宅意安.jpg</t>
  </si>
  <si>
    <t>たい　帯下　1758　灸ぜつ塩土伝　三宅意安_ページ_1.jpg</t>
  </si>
  <si>
    <t>たい　帯下　1758　灸ぜつ塩土伝　三宅意安_ページ_2.jpg</t>
  </si>
  <si>
    <t>たい　帯下　1758　赤白帯下-02　灸ぜつ塩土伝　三宅意安.jpg</t>
  </si>
  <si>
    <t>たい　帯下　1758　赤白帯下　灸ぜつ塩土伝　三宅意安.jpg</t>
  </si>
  <si>
    <t>たい　帯下　1767　鍼灸則　菅沼周桂_ページ_1.jpg</t>
  </si>
  <si>
    <t>たい　帯下　1767　鍼灸則　菅沼周桂_ページ_2.jpg</t>
  </si>
  <si>
    <t>たい　帯下　1780　赤白帯下の妙灸　しら血・長血の妙灸　鍼灸極秘伝　木村太沖.jpg</t>
  </si>
  <si>
    <t>たい　帯下　1794　赤白帯下　杉山流鍼術　島浦和田一.jpg</t>
  </si>
  <si>
    <t>たい　帯下　1800　赤白帯下　鍼灸備要　小坂元祐_ページ_1.jpg</t>
  </si>
  <si>
    <t>たい　帯下　1800　赤白帯下　鍼灸備要　小坂元祐_ページ_2.jpg</t>
  </si>
  <si>
    <t>たい　帯下　1807　赤白帯下　崩漏　続名家灸選　平井庸信_ページ_1.jpg</t>
  </si>
  <si>
    <t>たい　帯下　1807　赤白帯下　崩漏　続名家灸選　平井庸信_ページ_2.jpg</t>
  </si>
  <si>
    <t>たい　帯下　1887（明治20）　白帯下（はくたいげ）　しらち、又、こしけ　子宮粘膜炎　鍼灸備要　青山道醇.jpg</t>
  </si>
  <si>
    <t>たい　帯下　1887（明治20）　赤（しゃく）帯下　ながち　陰膣粘膜炎　鍼灸備要　青山道醇.jpg</t>
  </si>
  <si>
    <t>たい　帯下　1912年（大正01）　鍼灸手引草　久木田七郎.jpg</t>
  </si>
  <si>
    <t>たい　帯下　こしけ　1686　鍼灸要法指南　岩田利斎.jpg</t>
  </si>
  <si>
    <t>たい　帯下　赤白滞下　成書年未詳　灸穴集　著者未詳_ページ_1.jpg</t>
  </si>
  <si>
    <t>たい　帯下　赤白滞下　成書年未詳　灸穴集　著者未詳_ページ_2.jpg</t>
  </si>
  <si>
    <t>たい　帯下　赤白滞下　成書年未詳　灸穴集　著者未詳_ページ_3.jpg</t>
  </si>
  <si>
    <t>たい　帯下　赤白滞下　成書年未詳　灸穴集　著者未詳_ページ_4.jpg</t>
  </si>
  <si>
    <t>たい　帯下　赤白滞下　成書年未詳　灸穴集　著者未詳_ページ_5.jpg</t>
  </si>
  <si>
    <t>たい　帯下　赤白滞下　成書年未詳　灸穴集　著者未詳_ページ_6.jpg</t>
  </si>
  <si>
    <t>たい　帯下　赤白滞下　成書年未詳　灸穴集　著者未詳_ページ_7.jpg</t>
  </si>
  <si>
    <t>たい　帯下奇兪　1703　鍼灸阿是要穴　岡本一抱.jpg</t>
  </si>
  <si>
    <t>たい　帯下奇穴　1758　灸ぜつ塩土伝　三宅意安_ページ_1.jpg</t>
  </si>
  <si>
    <t>たい　帯下奇穴　1758　灸ぜつ塩土伝　三宅意安_ページ_2.jpg</t>
  </si>
  <si>
    <t>たい　戴眼　1624　類経図翼　明・張介賓_ページ_1.jpg</t>
  </si>
  <si>
    <t>たい　戴眼　1624　類経図翼　明・張介賓_ページ_2.jpg</t>
  </si>
  <si>
    <t>たい　滯頤　よだれながる　1686　鍼灸要法指南　岩田利斎.jpg</t>
  </si>
  <si>
    <t>たい　胎動　1686　鍼灸要法指南　岩田利斎.jpg</t>
  </si>
  <si>
    <t>たい　胎動之論　1693　鍼灸要歌集　安井昌玄_ページ_1.jpg</t>
  </si>
  <si>
    <t>たい　胎動之論　1693　鍼灸要歌集　安井昌玄_ページ_2.jpg</t>
  </si>
  <si>
    <t>たい　胎墜易　1686　鍼灸要法指南　岩田利斎.jpg</t>
  </si>
  <si>
    <t>たい　胎欲墜　1765　鍼法弁惑　藤井秀孟.jpg</t>
  </si>
  <si>
    <t>たい　胎知男女　1669　鍼灸枢要　山本玄通.jpg</t>
  </si>
  <si>
    <t>たい　胎落易を守之法　1693　鍼灸要歌集　安井昌玄_ページ_1.jpg</t>
  </si>
  <si>
    <t>たい　胎落易を守之法　1693　鍼灸要歌集　安井昌玄_ページ_2.jpg</t>
  </si>
  <si>
    <t>たい　胎衣不下　1694　選鍼三要集　杉山和一.jpg</t>
  </si>
  <si>
    <t>たい　胎随針之穴　1613　古今集鍼法　長生庵了味か.jpg</t>
  </si>
  <si>
    <t>たい　腿痛　1329　扁鵲神応鍼灸玉龍経　元・王国瑞.jpg</t>
  </si>
  <si>
    <t>たい　腿風　1329　扁鵲神応鍼灸玉龍経　元・王国瑞_ページ_1.jpg</t>
  </si>
  <si>
    <t>たい　腿風　1329　扁鵲神応鍼灸玉龍経　元・王国瑞_ページ_2.jpg</t>
  </si>
  <si>
    <t>たん　丹毒　はやくさ　1686　鍼灸要法指南　岩田利斎.jpg</t>
  </si>
  <si>
    <t>たん　丹毒之鍼　1685　鍼道秘訣集　御園夢分斎_ページ_1.jpg</t>
  </si>
  <si>
    <t>たん　丹毒之鍼　1685　鍼道秘訣集　御園夢分斎_ページ_2.jpg</t>
  </si>
  <si>
    <t>たん　丹毒之鍼　1685　鍼道秘訣集　御園夢分斎_ページ_3.jpg</t>
  </si>
  <si>
    <t>たん　丹毒（小児）　1767　鍼灸則　菅沼周桂_ページ_1.jpg</t>
  </si>
  <si>
    <t>たん　丹毒（小児）　1767　鍼灸則　菅沼周桂_ページ_2.jpg</t>
  </si>
  <si>
    <t>たん　嘆息（太息）　1220　鍼灸資生経　王執中_ページ_1.jpg</t>
  </si>
  <si>
    <t>たん　嘆息（太息）　1220　鍼灸資生経　王執中_ページ_2.jpg</t>
  </si>
  <si>
    <t>たん　疸証　1669　鍼灸枢要　山本玄通_ページ_1.jpg</t>
  </si>
  <si>
    <t>たん　疸証　1669　鍼灸枢要　山本玄通_ページ_2.jpg</t>
  </si>
  <si>
    <t>たん　疸証　1669　鍼灸枢要　山本玄通_ページ_3.jpg</t>
  </si>
  <si>
    <t>たん　疸証　1669　鍼灸枢要　山本玄通_ページ_4.jpg</t>
  </si>
  <si>
    <t>たん　疸証　1669　鍼灸枢要　山本玄通_ページ_5.jpg</t>
  </si>
  <si>
    <t>たん　痰厥、昏昧卒倒　たんつまりて急にたおれたる　1780　鍼灸極秘伝　木村太沖.jpg</t>
  </si>
  <si>
    <t>たん　痰厥、絶えんとす　痰、胸膈に塞（ふさが）り昏迷する者　たんのはりて死なんとする人　1780　鍼灸極秘伝　木村太沖.jpg</t>
  </si>
  <si>
    <t>たん　痰喘之針穴　1613　古今集鍼法　長生庵了味か.jpg</t>
  </si>
  <si>
    <t>たん　痰喘咳嗽部　1425　神応経　明・陳会撰・劉瑾重校_ページ_1.jpg</t>
  </si>
  <si>
    <t>たん　痰喘咳嗽部　1425　神応経　明・陳会撰・劉瑾重校_ページ_2.jpg</t>
  </si>
  <si>
    <t>たん　痰喘咳嗽部　1425　神応経　明・陳会撰・劉瑾重校_ページ_3.jpg</t>
  </si>
  <si>
    <t>たん　痰喘気自心奇兪　1758　灸ぜつ塩土伝　三宅意安_ページ_1.jpg</t>
  </si>
  <si>
    <t>たん　痰喘気自心奇兪　1758　灸ぜつ塩土伝　三宅意安_ページ_2.jpg</t>
  </si>
  <si>
    <t>たん　痰喘虫積痛　1758　灸ぜつ塩土伝　三宅意安_ページ_1.jpg</t>
  </si>
  <si>
    <t>たん　痰喘虫積痛　1758　灸ぜつ塩土伝　三宅意安_ページ_2.jpg</t>
  </si>
  <si>
    <t>たん　痰嗽喘急　1329　扁鵲神応鍼灸玉龍経　元・王国瑞.jpg</t>
  </si>
  <si>
    <t>たん　痰涎　痰飲　1912年（大正01）　鍼灸手引草　久木田七郎.jpg</t>
  </si>
  <si>
    <t>たん　痰涎壅盛　1765　鍼法弁惑　藤井秀孟.jpg</t>
  </si>
  <si>
    <t>たん　痰涎（痰飲 吐沫 余見唾）　1220　鍼灸資生経　王執中_ページ_1.jpg</t>
  </si>
  <si>
    <t>たん　痰涎（痰飲 吐沫 余見唾）　1220　鍼灸資生経　王執中_ページ_2.jpg</t>
  </si>
  <si>
    <t>たん　痰灸法　1594　経脈方寸秘書　曲直瀬道三.jpg</t>
  </si>
  <si>
    <t>たん　痰血　1794　杉山流鍼術　島浦和田一.jpg</t>
  </si>
  <si>
    <t>たん　痰飮　かすはき　1718　鍼灸重宝記　本郷正豊_ページ_1.jpg</t>
  </si>
  <si>
    <t>たん　痰飮　かすはき　1718　鍼灸重宝記　本郷正豊_ページ_2.jpg</t>
  </si>
  <si>
    <t>たん　痰飲　1574　兪穴参伍的法　秦宗巴_ページ_1.jpg</t>
  </si>
  <si>
    <t>たん　痰飲　1574　兪穴参伍的法　秦宗巴_ページ_2.jpg</t>
  </si>
  <si>
    <t>たん　痰飲　1607　扁鵲新流鍼書　越齋寿閑.jpg</t>
  </si>
  <si>
    <t>たん　痰飲　1669　鍼灸枢要　山本玄通_ページ_1.jpg</t>
  </si>
  <si>
    <t>たん　痰飲　1669　鍼灸枢要　山本玄通_ページ_2.jpg</t>
  </si>
  <si>
    <t>たん　痰飲　1669　鍼灸枢要　山本玄通_ページ_3.jpg</t>
  </si>
  <si>
    <t>たん　痰飲　1669　鍼灸枢要　山本玄通_ページ_4.jpg</t>
  </si>
  <si>
    <t>たん　痰飲　1669　鍼灸枢要　山本玄通_ページ_5.jpg</t>
  </si>
  <si>
    <t>たん　痰飲　1680　鍼灸抜萃　著者未詳.jpg</t>
  </si>
  <si>
    <t>たん　痰飲　1693　鍼灸要歌集　安井昌玄_ページ_1.jpg</t>
  </si>
  <si>
    <t>たん　痰飲　1693　鍼灸要歌集　安井昌玄_ページ_2.jpg</t>
  </si>
  <si>
    <t>たん　痰飲　1693　鍼灸要歌集　安井昌玄_ページ_3.jpg</t>
  </si>
  <si>
    <t>たん　痰飲　1693　鍼灸要歌集　安井昌玄_ページ_4.jpg</t>
  </si>
  <si>
    <t>たん　痰飲　1693　鍼灸要歌集　安井昌玄_ページ_5.jpg</t>
  </si>
  <si>
    <t>たん　痰飲　1694　療治之大概集　杉山和一.jpg</t>
  </si>
  <si>
    <t>たん　痰飲　1694　鍼灸そかい集　高津敬節_ページ_1.jpg</t>
  </si>
  <si>
    <t>たん　痰飲　1694　鍼灸そかい集　高津敬節_ページ_2.jpg</t>
  </si>
  <si>
    <t>たん　痰飲　1696　広益鍼灸抜萃　著者未詳_ページ_1.jpg</t>
  </si>
  <si>
    <t>たん　痰飲　1696　広益鍼灸抜萃　著者未詳_ページ_2.jpg</t>
  </si>
  <si>
    <t>たん　痰飲　1696　広益鍼灸抜萃　著者未詳_ページ_3.jpg</t>
  </si>
  <si>
    <t>たん　痰飲　1696　広益鍼灸抜萃　著者未詳_ページ_4.jpg</t>
  </si>
  <si>
    <t>たん　痰飲　1696　広益鍼灸抜萃　著者未詳_ページ_5.jpg</t>
  </si>
  <si>
    <t>たん　痰飲　1698　鍼灸抜粋大成　岡本一抱_ページ_1.jpg</t>
  </si>
  <si>
    <t>たん　痰飲　1698　鍼灸抜粋大成　岡本一抱_ページ_2.jpg</t>
  </si>
  <si>
    <t>たん　痰飲　1758　灸ぜつ塩土伝　三宅意安_ページ_1.jpg</t>
  </si>
  <si>
    <t>たん　痰飲　1758　灸ぜつ塩土伝　三宅意安_ページ_2.jpg</t>
  </si>
  <si>
    <t>たん　痰飲　1767　鍼灸則　菅沼周桂_ページ_1.jpg</t>
  </si>
  <si>
    <t>たん　痰飲　1767　鍼灸則　菅沼周桂_ページ_2.jpg</t>
  </si>
  <si>
    <t>たん　痰飲　1773　鍼灸手引草　大簡室主人_ページ_1.jpg</t>
  </si>
  <si>
    <t>たん　痰飲　1773　鍼灸手引草　大簡室主人_ページ_2.jpg</t>
  </si>
  <si>
    <t>たん　痰飲　1792　鍼法要集　源長起_ページ_1.jpg</t>
  </si>
  <si>
    <t>たん　痰飲　1792　鍼法要集　源長起_ページ_2.jpg</t>
  </si>
  <si>
    <t>たん　痰飲　1792　鍼法要集　源長起_ページ_3.jpg</t>
  </si>
  <si>
    <t>たん　痰飲　1800　鍼灸備要　小坂元祐_ページ_1.jpg</t>
  </si>
  <si>
    <t>たん　痰飲　1800　鍼灸備要　小坂元祐_ページ_2.jpg</t>
  </si>
  <si>
    <t>たん　痰飲　1807　続名家灸選　平井庸信_ページ_1.jpg</t>
  </si>
  <si>
    <t>たん　痰飲　1807　続名家灸選　平井庸信_ページ_2.jpg</t>
  </si>
  <si>
    <t>たん　痰飲　咳嗽、喘急　1686　鍼灸要法指南　岩田利斎_ページ_1.jpg</t>
  </si>
  <si>
    <t>たん　痰飲　咳嗽、喘急　1686　鍼灸要法指南　岩田利斎_ページ_2.jpg</t>
  </si>
  <si>
    <t>たん　痰飲　成書年未詳　灸穴集　著者未詳_ページ_1.jpg</t>
  </si>
  <si>
    <t>たん　痰飲　成書年未詳　灸穴集　著者未詳_ページ_2.jpg</t>
  </si>
  <si>
    <t>たん　痰飲　成書年未詳　灸穴集　著者未詳_ページ_3.jpg</t>
  </si>
  <si>
    <t>たん　痰飲　成書年未詳　灸穴集　著者未詳_ページ_4.jpg</t>
  </si>
  <si>
    <t>たん　痰飲　成書年未詳　灸穴集　著者未詳_ページ_5.jpg</t>
  </si>
  <si>
    <t>たん　痰飲　成書年未詳　灸穴集　著者未詳_ページ_6.jpg</t>
  </si>
  <si>
    <t>たん　痰飲　成書年未詳　灸穴集　著者未詳_ページ_7.jpg</t>
  </si>
  <si>
    <t>たん　痰飲　成書年未詳　経穴図解　著者未詳.jpg</t>
  </si>
  <si>
    <t>たん　痰飲（たんいん）　りうゐん、又、むねつかへ　慢性加多児（カタル）性胃炎　1887（明治20）　鍼灸備要　青山道醇.jpg</t>
  </si>
  <si>
    <t>たん　胆寒心驚鬼交白濁　1329　扁鵲神応鍼灸玉龍経　元・王国瑞.jpg</t>
  </si>
  <si>
    <t>たん　胆虚（胆熱）　1220　鍼灸資生経　王執中.jpg</t>
  </si>
  <si>
    <t>だ　唾　1220　鍼灸資生経　王執中.jpg</t>
  </si>
  <si>
    <t>だ　唾血（だけつ）　唾（つば）に交りて血の出る病　口内出血　1887（明治20）　鍼灸備要　青山道醇.jpg</t>
  </si>
  <si>
    <t>だ　唾血（嘔血、吐血）　1220　鍼灸資生経　王執中_ページ_1.jpg</t>
  </si>
  <si>
    <t>だ　唾血（嘔血、吐血）　1220　鍼灸資生経　王執中_ページ_2.jpg</t>
  </si>
  <si>
    <t>だ　堕墜　1686　鍼灸要法指南　岩田利斎.jpg</t>
  </si>
  <si>
    <t>だ　打撲　1807　続名家灸選　平井庸信.jpg</t>
  </si>
  <si>
    <t>だ　数堕胎　1669　鍼灸枢要　山本玄通_ページ_1.jpg</t>
  </si>
  <si>
    <t>だ　数堕胎　1669　鍼灸枢要　山本玄通_ページ_2.jpg</t>
  </si>
  <si>
    <t>だ　数堕胎　1669　鍼灸枢要　山本玄通_ページ_3.jpg</t>
  </si>
  <si>
    <t>だい　大便　秘結　大小便不通　失屎　1669　鍼灸枢要　山本玄通_ページ_1.jpg</t>
  </si>
  <si>
    <t>だい　大便　秘結　大小便不通　失屎　1669　鍼灸枢要　山本玄通_ページ_2.jpg</t>
  </si>
  <si>
    <t>だい　大便　秘結　大小便不通　失屎　1669　鍼灸枢要　山本玄通_ページ_3.jpg</t>
  </si>
  <si>
    <t>だい　大便　秘結　大小便不通　失屎　1669　鍼灸枢要　山本玄通_ページ_4.jpg</t>
  </si>
  <si>
    <t>だい　大便　秘結　大小便不通　失屎　1669　鍼灸枢要　山本玄通_ページ_5.jpg</t>
  </si>
  <si>
    <t>だい　大便　秘結　大小便不通　失屎　1669　鍼灸枢要　山本玄通_ページ_6.jpg</t>
  </si>
  <si>
    <t>だい　大便不禁（余見泄瀉）　1220　鍼灸資生経　王執中_ページ_1.jpg</t>
  </si>
  <si>
    <t>だい　大便不禁（余見泄瀉）　1220　鍼灸資生経　王執中_ページ_2.jpg</t>
  </si>
  <si>
    <t>だい　大便不通　1220　鍼灸資生経　王執中.jpg</t>
  </si>
  <si>
    <t>だい　大便不通　1315　鍼経摘英集　元・杜思敬「済生抜粋方」.jpg</t>
  </si>
  <si>
    <t>だい　大便不通　1693　鍼灸要歌集　安井昌玄_ページ_1.jpg</t>
  </si>
  <si>
    <t>だい　大便不通　1693　鍼灸要歌集　安井昌玄_ページ_2.jpg</t>
  </si>
  <si>
    <t>だい　大便不通　1765　鍼法弁惑　藤井秀孟_ページ_1.jpg</t>
  </si>
  <si>
    <t>だい　大便不通　1765　鍼法弁惑　藤井秀孟_ページ_2.jpg</t>
  </si>
  <si>
    <t>だい　大便小便不利疾　1574　兪穴参伍的法　秦宗巴.jpg</t>
  </si>
  <si>
    <t>だい　大便秘結　1624　類経図翼　明・張介賓_ページ_1.jpg</t>
  </si>
  <si>
    <t>だい　大便秘結　1624　類経図翼　明・張介賓_ページ_2.jpg</t>
  </si>
  <si>
    <t>だい　大便秘結　1694　選鍼三要集　杉山和一.jpg</t>
  </si>
  <si>
    <t>だい　大便秘結　1800　鍼灸備要　小坂元祐_ページ_1.jpg</t>
  </si>
  <si>
    <t>だい　大便秘結　1800　鍼灸備要　小坂元祐_ページ_2.jpg</t>
  </si>
  <si>
    <t>だい　大便秘結　1912年（大正01）　鍼灸手引草　久木田七郎.jpg</t>
  </si>
  <si>
    <t>だい　大便秘結　ふんつまり　大便不通　1887（明治20）　鍼灸備要　青山道醇.jpg</t>
  </si>
  <si>
    <t>だい　大便閉　1767　鍼灸則　菅沼周桂.jpg</t>
  </si>
  <si>
    <t>だい　大便閉　1813　名家灸選三編　平井庸信.jpg</t>
  </si>
  <si>
    <t>だい　大便閉　大べんつまりて、また久しくせぬ人　1780　鍼灸極秘伝　木村太沖.jpg</t>
  </si>
  <si>
    <t>だい　大便閉　秘結　1686　鍼灸要法指南　岩田利斎.jpg</t>
  </si>
  <si>
    <t>だい　大便閉塞　1329　扁鵲神応鍼灸玉龍経　元・王国瑞_ページ_1.jpg</t>
  </si>
  <si>
    <t>だい　大便閉塞　1329　扁鵲神応鍼灸玉龍経　元・王国瑞_ページ_2.jpg</t>
  </si>
  <si>
    <t>だい　大便難　1574　兪穴参伍的法　秦宗巴.jpg</t>
  </si>
  <si>
    <t>だい　大小便　0300　不得大小便　●三焦約内閉発不得大小便　第十　鍼灸甲乙経　皇甫謐.jpg</t>
  </si>
  <si>
    <t>だい　大小便不通　1220　鍼灸資生経　王執中_ページ_1.jpg</t>
  </si>
  <si>
    <t>だい　大小便不通　1220　鍼灸資生経　王執中_ページ_2.jpg</t>
  </si>
  <si>
    <t>だい　大小便不通　1794　杉山流鍼術　島浦和田一_ページ_1.jpg</t>
  </si>
  <si>
    <t>だい　大小便不通　1794　杉山流鍼術　島浦和田一_ページ_2.jpg</t>
  </si>
  <si>
    <t>だい　大小便病　0650　千金方　孫思ばく_ページ_1.jpg</t>
  </si>
  <si>
    <t>だい　大小便病　0650　千金方　孫思ばく_ページ_2.jpg</t>
  </si>
  <si>
    <t>だい　大小便病　0650　千金方　孫思ばく_ページ_3.jpg</t>
  </si>
  <si>
    <t>だい　大小便秘　1765　鍼法弁惑　藤井秀孟_ページ_1.jpg</t>
  </si>
  <si>
    <t>だい　大小便秘　1765　鍼法弁惑　藤井秀孟_ページ_2.jpg</t>
  </si>
  <si>
    <t>だい　大小便閉　1686　鍼灸要法指南　岩田利斎.jpg</t>
  </si>
  <si>
    <t>だい　大風癩　1299　続添要穴集　惟宗時俊_ページ_1.jpg</t>
  </si>
  <si>
    <t>だい　大風癩　1299　続添要穴集　惟宗時俊_ページ_2.jpg</t>
  </si>
  <si>
    <t>だく　濁証　1669　鍼灸枢要　山本玄通_ページ_1.jpg</t>
  </si>
  <si>
    <t>だく　濁証　1669　鍼灸枢要　山本玄通_ページ_2.jpg</t>
  </si>
  <si>
    <t>だく　濁証　1669　鍼灸枢要　山本玄通_ページ_3.jpg</t>
  </si>
  <si>
    <t>だつ　脱肛　1220　鍼灸資生経　王執中_ページ_1.jpg</t>
  </si>
  <si>
    <t>だつ　脱肛　1220　鍼灸資生経　王執中_ページ_2.jpg</t>
  </si>
  <si>
    <t>だつ　脱肛　1315　鍼経摘英集　元・杜思敬「済生抜粋方」.jpg</t>
  </si>
  <si>
    <t>だつ　脱肛　1563　鍼灸集要　曲直瀬道三.jpg</t>
  </si>
  <si>
    <t>だつ　脱肛　1574　兪穴参伍的法　秦宗巴.jpg</t>
  </si>
  <si>
    <t>だつ　脱肛　1607　扁鵲新流鍼書　越齋寿閑.jpg</t>
  </si>
  <si>
    <t>だつ　脱肛　1624　類経図翼　明・張介賓_ページ_1.jpg</t>
  </si>
  <si>
    <t>だつ　脱肛　1624　類経図翼　明・張介賓_ページ_2.jpg</t>
  </si>
  <si>
    <t>だつ　脱肛　1669　鍼灸枢要　山本玄通_ページ_1.jpg</t>
  </si>
  <si>
    <t>だつ　脱肛　1669　鍼灸枢要　山本玄通_ページ_2.jpg</t>
  </si>
  <si>
    <t>だつ　脱肛　1669　鍼灸枢要　山本玄通_ページ_3.jpg</t>
  </si>
  <si>
    <t>だつ　脱肛　1680　鍼灸抜萃　著者未詳.jpg</t>
  </si>
  <si>
    <t>だつ　脱肛　1686　鍼灸要法指南　岩田利斎.jpg</t>
  </si>
  <si>
    <t>だつ　脱肛　1693　鍼灸要歌集　安井昌玄.jpg</t>
  </si>
  <si>
    <t>だつ　脱肛　1694　肛門の出る病の事　療治之大概集　杉山和一.jpg</t>
  </si>
  <si>
    <t>だつ　脱肛　1694　選鍼三要集　杉山和一.jpg</t>
  </si>
  <si>
    <t>だつ　脱肛　1694　鍼灸そかい集　高津敬節.jpg</t>
  </si>
  <si>
    <t>だつ　脱肛　1696　広益鍼灸抜萃　著者未詳.jpg</t>
  </si>
  <si>
    <t>だつ　脱肛　1698　鍼灸抜粋大成　岡本一抱.jpg</t>
  </si>
  <si>
    <t>だつ　脱肛　1718　鍼灸重宝記　本郷正豊.jpg</t>
  </si>
  <si>
    <t>だつ　脱肛　1767　鍼灸則　菅沼周桂.jpg</t>
  </si>
  <si>
    <t>だつ　脱肛　1773　鍼灸手引草　大簡室主人_ページ_1.jpg</t>
  </si>
  <si>
    <t>だつ　脱肛　1773　鍼灸手引草　大簡室主人_ページ_2.jpg</t>
  </si>
  <si>
    <t>だつ　脱肛　1792　鍼法要集　源長起_ページ_1.jpg</t>
  </si>
  <si>
    <t>だつ　脱肛　1792　鍼法要集　源長起_ページ_2.jpg</t>
  </si>
  <si>
    <t>だつ　脱肛　1794　杉山流鍼術　島浦和田一_ページ_1.jpg</t>
  </si>
  <si>
    <t>だつ　脱肛　1794　杉山流鍼術　島浦和田一_ページ_2.jpg</t>
  </si>
  <si>
    <t>だつ　脱肛　1800　鍼灸備要　小坂元祐_ページ_1.jpg</t>
  </si>
  <si>
    <t>だつ　脱肛　1800　鍼灸備要　小坂元祐_ページ_2.jpg</t>
  </si>
  <si>
    <t>だつ　脱肛　1887（明治20）　だつこ　直腸脱　鍼灸備要　青山道醇.jpg</t>
  </si>
  <si>
    <t>だつ　脱肛或鼻塞之針穴　1613　古今集鍼法　長生庵了味か.jpg</t>
  </si>
  <si>
    <t>だつ　脱肛（小児）　1669　鍼灸枢要　山本玄通.jpg</t>
  </si>
  <si>
    <t>だん　断産　1686　鍼灸要法指南　岩田利斎.jpg</t>
  </si>
  <si>
    <t>だん　断産法　1693　鍼灸要歌集　安井昌玄_ページ_1.jpg</t>
  </si>
  <si>
    <t>だん　断産法　1693　鍼灸要歌集　安井昌玄_ページ_2.jpg</t>
  </si>
  <si>
    <t>だん　断産灸法　成書年未詳　灸穴集　著者未詳.jpg</t>
  </si>
  <si>
    <t>だん　男子元蔵発動，臍下痛不可忍　1315　鍼経摘英集　元・杜思敬「済生抜粋方」.jpg</t>
  </si>
  <si>
    <t>だん　男子卒疝少腹痛不可忍　1315　鍼経摘英集　元・杜思敬「済生抜粋方」_ページ_1.jpg</t>
  </si>
  <si>
    <t>だん　男子卒疝少腹痛不可忍　1315　鍼経摘英集　元・杜思敬「済生抜粋方」_ページ_2.jpg</t>
  </si>
  <si>
    <t>だん　男子婦人血結胸，面赤，大燥口乾，しょう渇，胸中疼痛不可忍者　1315　鍼経摘英集　元・杜思敬「済生抜粋方」_ページ_1.jpg</t>
  </si>
  <si>
    <t>だん　男子婦人血結胸，面赤，大燥口乾，しょう渇，胸中疼痛不可忍者　1315　鍼経摘英集　元・杜思敬「済生抜粋方」_ページ_2.jpg</t>
  </si>
  <si>
    <t>だん　男子臓気虚憊，真気不足，一切気疾久不差，不思飲食，全無気力　1315　鍼経摘英集　元・杜思敬「済生抜粋方」.jpg</t>
  </si>
  <si>
    <t>ち　癡呆　1329　扁鵲神応鍼灸玉龍経　元・王国瑞.jpg</t>
  </si>
  <si>
    <t>ち　血之道　1693　鍼灸要歌集　安井昌玄.jpg</t>
  </si>
  <si>
    <t>ち　血止之針穴　1613　古今集鍼法　長生庵了味か.jpg</t>
  </si>
  <si>
    <t>ち　血道　ちのみち　1686　鍼灸要法指南　岩田利斎.jpg</t>
  </si>
  <si>
    <t>ちく　畜血　1537　鍼灸聚英　明・高武.jpg</t>
  </si>
  <si>
    <t>ちゅう　ちゅう蛙牙　1765　鍼法弁惑　藤井秀孟_ページ_1.jpg</t>
  </si>
  <si>
    <t>ちゅう　ちゅう蛙牙　1765　鍼法弁惑　藤井秀孟_ページ_2.jpg</t>
  </si>
  <si>
    <t>ちゅう　中寒　1669　鍼灸枢要　山本玄通_ページ_1.jpg</t>
  </si>
  <si>
    <t>ちゅう　中寒　1669　鍼灸枢要　山本玄通_ページ_2.jpg</t>
  </si>
  <si>
    <t>ちゅう　中寒　1669　鍼灸枢要　山本玄通_ページ_3.jpg</t>
  </si>
  <si>
    <t>ちゅう　中寒　1686　鍼灸要法指南　岩田利斎.jpg</t>
  </si>
  <si>
    <t>ちゅう　中寒　1693　鍼灸要歌集　安井昌玄_ページ_1.jpg</t>
  </si>
  <si>
    <t>ちゅう　中寒　1693　鍼灸要歌集　安井昌玄_ページ_2.jpg</t>
  </si>
  <si>
    <t>ちゅう　中寒　1698　鍼灸抜粋大成　岡本一抱_ページ_1.jpg</t>
  </si>
  <si>
    <t>ちゅう　中寒　1698　鍼灸抜粋大成　岡本一抱_ページ_2.jpg</t>
  </si>
  <si>
    <t>ちゅう　中寒　1767　鍼灸則　菅沼周桂_ページ_1.jpg</t>
  </si>
  <si>
    <t>ちゅう　中寒　1767　鍼灸則　菅沼周桂_ページ_2.jpg</t>
  </si>
  <si>
    <t>ちゅう　中寒　1773　鍼灸手引草　大簡室主人.jpg</t>
  </si>
  <si>
    <t>ちゅう　中寒　1792　鍼法要集　源長起_ページ_1.jpg</t>
  </si>
  <si>
    <t>ちゅう　中寒　1792　鍼法要集　源長起_ページ_2.jpg</t>
  </si>
  <si>
    <t>ちゅう　中寒　1792　鍼法要集　源長起_ページ_3.jpg</t>
  </si>
  <si>
    <t>ちゅう　中寒　1794　杉山流鍼術　島浦和田一.jpg</t>
  </si>
  <si>
    <t>ちゅう　中寒　1800　鍼灸備要　小坂元祐_ページ_1.jpg</t>
  </si>
  <si>
    <t>ちゅう　中寒　1800　鍼灸備要　小坂元祐_ページ_2.jpg</t>
  </si>
  <si>
    <t>ちゅう　中寒　1807　続名家灸選　平井庸信_ページ_1.jpg</t>
  </si>
  <si>
    <t>ちゅう　中寒　1807　続名家灸選　平井庸信_ページ_2.jpg</t>
  </si>
  <si>
    <t>ちゅう　中寒　1813　名家灸選三編　平井庸信_ページ_1.jpg</t>
  </si>
  <si>
    <t>ちゅう　中寒　1813　名家灸選三編　平井庸信_ページ_2.jpg</t>
  </si>
  <si>
    <t>ちゅう　中寒　1813　名家灸選三編　平井庸信_ページ_3.jpg</t>
  </si>
  <si>
    <t>ちゅう　中寒　ひへにあたる　1718　鍼灸重宝記　本郷正豊.jpg</t>
  </si>
  <si>
    <t>ちゅう　中寒、身に熱なく、吐瀉・腹痛し、厥冷、肘を過ぐる如き者　甚しく寒毒にあたりてひえあがりて吐瀉し、はらいたむ人　1780　鍼灸極秘伝　木村太沖.jpg</t>
  </si>
  <si>
    <t>ちゅう　中忤　中悪　1679　鍼法奇貨　渡辺東伯_ページ_1.jpg</t>
  </si>
  <si>
    <t>ちゅう　中忤　中悪　1679　鍼法奇貨　渡辺東伯_ページ_2.jpg</t>
  </si>
  <si>
    <t>ちゅう　中悪　1315　鍼経摘英集　元・杜思敬「済生抜粋方」.jpg</t>
  </si>
  <si>
    <t>ちゅう　中悪　1574　兪穴参伍的法　秦宗巴.jpg</t>
  </si>
  <si>
    <t>ちゅう　中悪　1680　鍼灸抜萃　著者未詳.jpg</t>
  </si>
  <si>
    <t>ちゅう　中悪　1693　鍼灸要歌集　安井昌玄_ページ_1.jpg</t>
  </si>
  <si>
    <t>ちゅう　中悪　1693　鍼灸要歌集　安井昌玄_ページ_2.jpg</t>
  </si>
  <si>
    <t>ちゅう　中悪　1696　広益鍼灸抜萃　著者未詳_ページ_1.jpg</t>
  </si>
  <si>
    <t>ちゅう　中悪　1696　広益鍼灸抜萃　著者未詳_ページ_2.jpg</t>
  </si>
  <si>
    <t>ちゅう　中悪　1773　鍼灸手引草　大簡室主人.jpg</t>
  </si>
  <si>
    <t>ちゅう　中悪　1785　鍼書　本城義軒.jpg</t>
  </si>
  <si>
    <t>ちゅう　中悪　1792　鍼法要集　源長起_ページ_1.jpg</t>
  </si>
  <si>
    <t>ちゅう　中悪　1792　鍼法要集　源長起_ページ_2.jpg</t>
  </si>
  <si>
    <t>ちゅう　中悪　あしきものにあてらるる　1718　鍼灸重宝記　本郷正豊.jpg</t>
  </si>
  <si>
    <t>ちゅう　中悪　卒死　卒中病　1813　名家灸選三編　平井庸信_ページ_1.jpg</t>
  </si>
  <si>
    <t>ちゅう　中悪　卒死　卒中病　1813　名家灸選三編　平井庸信_ページ_2.jpg</t>
  </si>
  <si>
    <t>ちゅう　中悪　客忤　1800　鍼灸備要　小坂元祐_ページ_1.jpg</t>
  </si>
  <si>
    <t>ちゅう　中悪　客忤　1800　鍼灸備要　小坂元祐_ページ_2.jpg</t>
  </si>
  <si>
    <t>ちゅう　中悪　客杵　1669　鍼灸枢要　山本玄通_ページ_1.jpg</t>
  </si>
  <si>
    <t>ちゅう　中悪　客杵　1669　鍼灸枢要　山本玄通_ページ_2.jpg</t>
  </si>
  <si>
    <t>ちゅう　中悪　客杵　1669　鍼灸枢要　山本玄通_ページ_3.jpg</t>
  </si>
  <si>
    <t>ちゅう　中悪　客杵　1669　鍼灸枢要　山本玄通_ページ_4.jpg</t>
  </si>
  <si>
    <t>ちゅう　中悪　客杵　1669　鍼灸枢要　山本玄通_ページ_5.jpg</t>
  </si>
  <si>
    <t>ちゅう　中暑　1669　鍼灸枢要　山本玄通_ページ_1.jpg</t>
  </si>
  <si>
    <t>ちゅう　中暑　1669　鍼灸枢要　山本玄通_ページ_2.jpg</t>
  </si>
  <si>
    <t>ちゅう　中暑　1669　鍼灸枢要　山本玄通_ページ_3.jpg</t>
  </si>
  <si>
    <t>ちゅう　中暑　1679　鍼法奇貨　渡辺東伯_ページ_1.jpg</t>
  </si>
  <si>
    <t>ちゅう　中暑　1679　鍼法奇貨　渡辺東伯_ページ_2.jpg</t>
  </si>
  <si>
    <t>ちゅう　中暑　1679　鍼法奇貨　渡辺東伯_ページ_3.jpg</t>
  </si>
  <si>
    <t>ちゅう　中暑　1686　鍼灸要法指南　岩田利斎_ページ_1.jpg</t>
  </si>
  <si>
    <t>ちゅう　中暑　1686　鍼灸要法指南　岩田利斎_ページ_2.jpg</t>
  </si>
  <si>
    <t>ちゅう　中暑　1693　鍼灸要歌集　安井昌玄_ページ_1.jpg</t>
  </si>
  <si>
    <t>ちゅう　中暑　1693　鍼灸要歌集　安井昌玄_ページ_2.jpg</t>
  </si>
  <si>
    <t>ちゅう　中暑　1767　鍼灸則　菅沼周桂.jpg</t>
  </si>
  <si>
    <t>ちゅう　中暑　1792　鍼法要集　源長起.jpg</t>
  </si>
  <si>
    <t>ちゅう　中暑　1794　杉山流鍼術　島浦和田一_ページ_1.jpg</t>
  </si>
  <si>
    <t>ちゅう　中暑　1794　杉山流鍼術　島浦和田一_ページ_2.jpg</t>
  </si>
  <si>
    <t>ちゅう　中暑、卒倒・角弓・反張し、手足ちく搦　しょ（暑）にあたりてそりかえりたる人　1780　鍼灸極秘伝　木村太沖.jpg</t>
  </si>
  <si>
    <t>ちゅう　中暑、口渇あるいは吐瀉　暑気にあたりて口かわき、はきくだしする人　1780　鍼灸極秘伝　木村太沖.jpg</t>
  </si>
  <si>
    <t>ちゅう　中毒　1686　鍼灸要法指南　岩田利斎_ページ_1.jpg</t>
  </si>
  <si>
    <t>ちゅう　中毒　1686　鍼灸要法指南　岩田利斎_ページ_2.jpg</t>
  </si>
  <si>
    <t>ちゅう　中毒　1693　鍼灸要歌集　安井昌玄_ページ_1.jpg</t>
  </si>
  <si>
    <t>ちゅう　中毒　1693　鍼灸要歌集　安井昌玄_ページ_2.jpg</t>
  </si>
  <si>
    <t>ちゅう　中毒　どくにあたる　1718　鍼灸重宝記　本郷正豊.jpg</t>
  </si>
  <si>
    <t>ちゅう　中湿　1669　鍼灸枢要　山本玄通_ページ_1.jpg</t>
  </si>
  <si>
    <t>ちゅう　中湿　1669　鍼灸枢要　山本玄通_ページ_2.jpg</t>
  </si>
  <si>
    <t>ちゅう　中湿　1669　鍼灸枢要　山本玄通_ページ_3.jpg</t>
  </si>
  <si>
    <t>ちゅう　中湿　1686　鍼灸要法指南　岩田利斎.jpg</t>
  </si>
  <si>
    <t>ちゅう　中湿　1693　鍼灸要歌集　安井昌玄_ページ_1.jpg</t>
  </si>
  <si>
    <t>ちゅう　中湿　1693　鍼灸要歌集　安井昌玄_ページ_2.jpg</t>
  </si>
  <si>
    <t>ちゅう　中湿　1792　鍼法要集　源長起_ページ_1.jpg</t>
  </si>
  <si>
    <t>ちゅう　中湿　1792　鍼法要集　源長起_ページ_2.jpg</t>
  </si>
  <si>
    <t>ちゅう　中湿　1792　鍼法要集　源長起_ページ_3.jpg</t>
  </si>
  <si>
    <t>ちゅう　中湿　1794　杉山流鍼術　島浦和田一.jpg</t>
  </si>
  <si>
    <t>ちゅう　中湿、腰背拘急し、脚重疼痛　しつ（湿）にあたりて、こし・せなか・あし引きつりいたむ人　1780　鍼灸極秘伝　木村太沖.jpg</t>
  </si>
  <si>
    <t>ちゅう　中風　1220　（中風寒熱 余論見偏風）　鍼灸資生経　王執中_ページ_1.jpg</t>
  </si>
  <si>
    <t>ちゅう　中風　1220　（中風寒熱 余論見偏風）　鍼灸資生経　王執中_ページ_2.jpg</t>
  </si>
  <si>
    <t>ちゅう　中風　1220　（中風寒熱 余論見偏風）　鍼灸資生経　王執中_ページ_3.jpg</t>
  </si>
  <si>
    <t>ちゅう　中風　1220　（中風寒熱 余論見偏風）　鍼灸資生経　王執中_ページ_4.jpg</t>
  </si>
  <si>
    <t>ちゅう　中風　1220　（中風寒熱 余論見偏風）　鍼灸資生経　王執中_ページ_5.jpg</t>
  </si>
  <si>
    <t>ちゅう　中風　1299　続添要穴集　惟宗時俊.jpg</t>
  </si>
  <si>
    <t>ちゅう　中風　1329　扁鵲神応鍼灸玉龍経　元・王国瑞.jpg</t>
  </si>
  <si>
    <t>ちゅう　中風　1574　兪穴参伍的法　秦宗巴_ページ_1.jpg</t>
  </si>
  <si>
    <t>ちゅう　中風　1574　兪穴参伍的法　秦宗巴_ページ_2.jpg</t>
  </si>
  <si>
    <t>ちゅう　中風　1594　鍼灸集要　曲直瀬道三_ページ_1.jpg</t>
  </si>
  <si>
    <t>ちゅう　中風　1594　鍼灸集要　曲直瀬道三_ページ_2.jpg</t>
  </si>
  <si>
    <t>ちゅう　中風　1607　扁鵲新流鍼書　越齋寿閑.jpg</t>
  </si>
  <si>
    <t>ちゅう　中風　1624　類経図翼　明・張介賓_ページ_1.jpg</t>
  </si>
  <si>
    <t>ちゅう　中風　1624　類経図翼　明・張介賓_ページ_2.jpg</t>
  </si>
  <si>
    <t>ちゅう　中風　1624　類経図翼　明・張介賓_ページ_3.jpg</t>
  </si>
  <si>
    <t>ちゅう　中風　1624　類経図翼　明・張介賓_ページ_4.jpg</t>
  </si>
  <si>
    <t>ちゅう　中風　1624　類経図翼　明・張介賓_ページ_5.jpg</t>
  </si>
  <si>
    <t>ちゅう　中風　1624　類経図翼　明・張介賓_ページ_6.jpg</t>
  </si>
  <si>
    <t>ちゅう　中風　1669　鍼灸枢要　山本玄通_ページ_01.jpg</t>
  </si>
  <si>
    <t>ちゅう　中風　1669　鍼灸枢要　山本玄通_ページ_02.jpg</t>
  </si>
  <si>
    <t>ちゅう　中風　1669　鍼灸枢要　山本玄通_ページ_03.jpg</t>
  </si>
  <si>
    <t>ちゅう　中風　1669　鍼灸枢要　山本玄通_ページ_04.jpg</t>
  </si>
  <si>
    <t>ちゅう　中風　1669　鍼灸枢要　山本玄通_ページ_05.jpg</t>
  </si>
  <si>
    <t>ちゅう　中風　1669　鍼灸枢要　山本玄通_ページ_06.jpg</t>
  </si>
  <si>
    <t>ちゅう　中風　1669　鍼灸枢要　山本玄通_ページ_07.jpg</t>
  </si>
  <si>
    <t>ちゅう　中風　1669　鍼灸枢要　山本玄通_ページ_08.jpg</t>
  </si>
  <si>
    <t>ちゅう　中風　1669　鍼灸枢要　山本玄通_ページ_09.jpg</t>
  </si>
  <si>
    <t>ちゅう　中風　1669　鍼灸枢要　山本玄通_ページ_10.jpg</t>
  </si>
  <si>
    <t>ちゅう　中風　1669　鍼灸枢要　山本玄通_ページ_11.jpg</t>
  </si>
  <si>
    <t>ちゅう　中風　1679　鍼法奇貨　渡辺東伯_ページ_1.jpg</t>
  </si>
  <si>
    <t>ちゅう　中風　1679　鍼法奇貨　渡辺東伯_ページ_2.jpg</t>
  </si>
  <si>
    <t>ちゅう　中風　1679　鍼法奇貨　渡辺東伯_ページ_3.jpg</t>
  </si>
  <si>
    <t>ちゅう　中風　1680　鍼灸抜萃　著者未詳.jpg</t>
  </si>
  <si>
    <t>ちゅう　中風　1686　鍼灸要法指南　岩田利斎_ページ_1.jpg</t>
  </si>
  <si>
    <t>ちゅう　中風　1686　鍼灸要法指南　岩田利斎_ページ_2.jpg</t>
  </si>
  <si>
    <t>ちゅう　中風　1686　鍼灸要法指南　岩田利斎_ページ_3.jpg</t>
  </si>
  <si>
    <t>ちゅう　中風　1693　鍼灸要歌集　安井昌玄_ページ_1.jpg</t>
  </si>
  <si>
    <t>ちゅう　中風　1693　鍼灸要歌集　安井昌玄_ページ_2.jpg</t>
  </si>
  <si>
    <t>ちゅう　中風　1693　鍼灸要歌集　安井昌玄_ページ_3.jpg</t>
  </si>
  <si>
    <t>ちゅう　中風　1693　鍼灸要歌集　安井昌玄_ページ_4.jpg</t>
  </si>
  <si>
    <t>ちゅう　中風　1694　鍼灸そかい集　高津敬節_ページ_1.jpg</t>
  </si>
  <si>
    <t>ちゅう　中風　1694　鍼灸そかい集　高津敬節_ページ_2.jpg</t>
  </si>
  <si>
    <t>ちゅう　中風　1696　広益鍼灸抜萃　著者未詳_ページ_1.jpg</t>
  </si>
  <si>
    <t>ちゅう　中風　1696　広益鍼灸抜萃　著者未詳_ページ_2.jpg</t>
  </si>
  <si>
    <t>ちゅう　中風　1696　広益鍼灸抜萃　著者未詳_ページ_3.jpg</t>
  </si>
  <si>
    <t>ちゅう　中風　1698　鍼灸抜粋大成　岡本一抱_ページ_1.jpg</t>
  </si>
  <si>
    <t>ちゅう　中風　1698　鍼灸抜粋大成　岡本一抱_ページ_2.jpg</t>
  </si>
  <si>
    <t>ちゅう　中風　1761　挨穴捷径　杉原敦_ページ_1.jpg</t>
  </si>
  <si>
    <t>ちゅう　中風　1761　挨穴捷径　杉原敦_ページ_2.jpg</t>
  </si>
  <si>
    <t>ちゅう　中風　1761　挨穴捷径　杉原敦_ページ_3.jpg</t>
  </si>
  <si>
    <t>ちゅう　中風　1761　挨穴捷径　杉原敦_ページ_4.jpg</t>
  </si>
  <si>
    <t>ちゅう　中風　1765　鍼法弁惑　藤井秀孟_ページ_1.jpg</t>
  </si>
  <si>
    <t>ちゅう　中風　1765　鍼法弁惑　藤井秀孟_ページ_2.jpg</t>
  </si>
  <si>
    <t>ちゅう　中風　1765　鍼法弁惑　藤井秀孟_ページ_3.jpg</t>
  </si>
  <si>
    <t>ちゅう　中風　1765　鍼法弁惑　藤井秀孟_ページ_4.jpg</t>
  </si>
  <si>
    <t>ちゅう　中風　1765　鍼法弁惑　藤井秀孟_ページ_5.jpg</t>
  </si>
  <si>
    <t>ちゅう　中風　1765　鍼法弁惑　藤井秀孟_ページ_6.jpg</t>
  </si>
  <si>
    <t>ちゅう　中風　1765　鍼法弁惑　藤井秀孟_ページ_7.jpg</t>
  </si>
  <si>
    <t>ちゅう　中風　1767　鍼灸則　菅沼周桂_ページ_1.jpg</t>
  </si>
  <si>
    <t>ちゅう　中風　1767　鍼灸則　菅沼周桂_ページ_2.jpg</t>
  </si>
  <si>
    <t>ちゅう　中風　1773　鍼灸手引草　大簡室主人_ページ_1.jpg</t>
  </si>
  <si>
    <t>ちゅう　中風　1773　鍼灸手引草　大簡室主人_ページ_2.jpg</t>
  </si>
  <si>
    <t>ちゅう　中風　1773　鍼灸手引草　大簡室主人_ページ_3.jpg</t>
  </si>
  <si>
    <t>ちゅう　中風　1785　鍼書　本城義軒.jpg</t>
  </si>
  <si>
    <t>ちゅう　中風　1792　鍼法要集　源長起_ページ_1.jpg</t>
  </si>
  <si>
    <t>ちゅう　中風　1792　鍼法要集　源長起_ページ_2.jpg</t>
  </si>
  <si>
    <t>ちゅう　中風　1792　鍼法要集　源長起_ページ_3.jpg</t>
  </si>
  <si>
    <t>ちゅう　中風　1792　鍼法要集　源長起_ページ_4.jpg</t>
  </si>
  <si>
    <t>ちゅう　中風　1792　鍼法要集　源長起_ページ_5.jpg</t>
  </si>
  <si>
    <t>ちゅう　中風　1794　杉山流鍼術　島浦和田一.jpg</t>
  </si>
  <si>
    <t>ちゅう　中風　1800　岡田流鍼術書　岡田見龍_ページ_1.jpg</t>
  </si>
  <si>
    <t>ちゅう　中風　1800　岡田流鍼術書　岡田見龍_ページ_2.jpg</t>
  </si>
  <si>
    <t>ちゅう　中風　1800　鍼灸備要　小坂元祐_ページ_1.jpg</t>
  </si>
  <si>
    <t>ちゅう　中風　1800　鍼灸備要　小坂元祐_ページ_2.jpg</t>
  </si>
  <si>
    <t>ちゅう　中風　1800　鍼灸備要　小坂元祐_ページ_3.jpg</t>
  </si>
  <si>
    <t>ちゅう　中風　1800　鍼灸備要　小坂元祐_ページ_4.jpg</t>
  </si>
  <si>
    <t>ちゅう　中風　1800　鍼灸備要　小坂元祐_ページ_5.jpg</t>
  </si>
  <si>
    <t>ちゅう　中風　1800　鍼灸備要　小坂元祐_ページ_6.jpg</t>
  </si>
  <si>
    <t>ちゅう　中風　1807　続名家灸選　平井庸信_ページ_1.jpg</t>
  </si>
  <si>
    <t>ちゅう　中風　1807　続名家灸選　平井庸信_ページ_2.jpg</t>
  </si>
  <si>
    <t>ちゅう　中風　1813　名家灸選　浅井惟亨.jpg</t>
  </si>
  <si>
    <t>ちゅう　中風　1813　名家灸選三編　平井庸信_ページ_1.jpg</t>
  </si>
  <si>
    <t>ちゅう　中風　1813　名家灸選三編　平井庸信_ページ_2.jpg</t>
  </si>
  <si>
    <t>ちゅう　中風　1813　名家灸選三編　平井庸信_ページ_3.jpg</t>
  </si>
  <si>
    <t>ちゅう　中風　1813　名家灸選三編　平井庸信_ページ_4.jpg</t>
  </si>
  <si>
    <t>ちゅう　中風　かぜにあてらるる　1718　鍼灸重宝記　本郷正豊.jpg</t>
  </si>
  <si>
    <t>ちゅう　中風　半身不随　1912年（大正01）　鍼灸手引草　久木田七郎.jpg</t>
  </si>
  <si>
    <t>ちゅう　中風　成書年未詳　灸穴集　著者未詳_ページ_1.jpg</t>
  </si>
  <si>
    <t>ちゅう　中風　成書年未詳　灸穴集　著者未詳_ページ_2.jpg</t>
  </si>
  <si>
    <t>ちゅう　中風　成書年未詳　灸穴集　著者未詳_ページ_3.jpg</t>
  </si>
  <si>
    <t>ちゅう　中風　成書年未詳　灸穴集　著者未詳_ページ_4.jpg</t>
  </si>
  <si>
    <t>ちゅう　中風　成書年未詳　灸穴集　著者未詳_ページ_5.jpg</t>
  </si>
  <si>
    <t>ちゅう　中風　成書年未詳　灸穴集　著者未詳_ページ_6.jpg</t>
  </si>
  <si>
    <t>ちゅう　中風　成書年未詳　灸穴集　著者未詳_ページ_7.jpg</t>
  </si>
  <si>
    <t>ちゅう　中風　成書年未詳　灸穴集　著者未詳_ページ_8.jpg</t>
  </si>
  <si>
    <t>ちゅう　中風　成書年未詳　灸穴集　著者未詳_ページ_9.jpg</t>
  </si>
  <si>
    <t>ちゅう　中風　成書年未詳　経穴図解　著者未詳_ページ_1.jpg</t>
  </si>
  <si>
    <t>ちゅう　中風　成書年未詳　経穴図解　著者未詳_ページ_2.jpg</t>
  </si>
  <si>
    <t>ちゅう　中風、不省人事　1694　選鍼三要集　杉山和一.jpg</t>
  </si>
  <si>
    <t>ちゅう　中風、足麻痺、痿弱、痛痒を覚えず　中風、手足しびれ、なえたる人　1780　鍼灸極秘伝　木村太沖.jpg</t>
  </si>
  <si>
    <t>ちゅう　中風の事　1694　療治之大概集　杉山和一.jpg</t>
  </si>
  <si>
    <t>ちゅう　中風七穴　1594　経脈方寸秘書　曲直瀬道三.jpg</t>
  </si>
  <si>
    <t>ちゅう　中風不語　1703　鍼灸阿是要穴　岡本一抱.jpg</t>
  </si>
  <si>
    <t>ちゅう　中風不語（中風口噤附 余見口〓　口眼か）　1220　鍼灸資生経　王執中_ページ_1.jpg</t>
  </si>
  <si>
    <t>ちゅう　中風不語（中風口噤附 余見口〓　口眼か）　1220　鍼灸資生経　王執中_ページ_2.jpg</t>
  </si>
  <si>
    <t>ちゅう　中風之針　1613　古今集鍼法　長生庵了味か.jpg</t>
  </si>
  <si>
    <t>ちゅう　中風口噤，牙関不開　1315　鍼経摘英集　元・杜思敬「済生抜粋方」.jpg</t>
  </si>
  <si>
    <t>ちゅう　中風口眼か邪　1315　鍼経摘英集　元・杜思敬「済生抜粋方」_ページ_1.jpg</t>
  </si>
  <si>
    <t>ちゅう　中風口眼か邪　1315　鍼経摘英集　元・杜思敬「済生抜粋方」_ページ_2.jpg</t>
  </si>
  <si>
    <t>ちゅう　中風手足不随　1315　鍼経摘英集　元・杜思敬「済生抜粋方」_ページ_1.jpg</t>
  </si>
  <si>
    <t>ちゅう　中風手足不随　1315　鍼経摘英集　元・杜思敬「済生抜粋方」_ページ_2.jpg</t>
  </si>
  <si>
    <t>ちゅう　中風針之大事　1685　鍼道秘訣集　御園夢分斎_ページ_1.jpg</t>
  </si>
  <si>
    <t>ちゅう　中風針之大事　1685　鍼道秘訣集　御園夢分斎_ページ_2.jpg</t>
  </si>
  <si>
    <t>ちゅう　中風針之大事　1685　鍼道秘訣集　御園夢分斎_ページ_3.jpg</t>
  </si>
  <si>
    <t>ちゅう　中風麻痺　1758　灸ぜつ塩土伝　三宅意安_ページ_1.jpg</t>
  </si>
  <si>
    <t>ちゅう　中風麻痺　1758　灸ぜつ塩土伝　三宅意安_ページ_2.jpg</t>
  </si>
  <si>
    <t>ちゅう　中風，気塞涎上，不語昏危者　1315　鍼経摘英集　元・杜思敬「済生抜粋方」_ページ_1.jpg</t>
  </si>
  <si>
    <t>ちゅう　中風，気塞涎上，不語昏危者　1315　鍼経摘英集　元・杜思敬「済生抜粋方」_ページ_2.jpg</t>
  </si>
  <si>
    <t>ちゅう　中魚毒　うをのどくにあたる　1780　鍼灸極秘伝　木村太沖.jpg</t>
  </si>
  <si>
    <t>ちゅう　卒中悪　0650　千金方　孫思ばく.jpg</t>
  </si>
  <si>
    <t>ちゅう　注夏　なつやせ　1703　鍼灸阿是要穴　岡本一抱.jpg</t>
  </si>
  <si>
    <t>ちゅう　注夏　解えき（＝人＋亦）　1669　鍼灸枢要　山本玄通_ページ_1.jpg</t>
  </si>
  <si>
    <t>ちゅう　注夏　解えき（＝人＋亦）　1669　鍼灸枢要　山本玄通_ページ_2.jpg</t>
  </si>
  <si>
    <t>ちゅう　注夏病　1807　続名家灸選　平井庸信.jpg</t>
  </si>
  <si>
    <t>ちゅう　注夏病　なつの時びょうもち春の末、夏の初に頭眩・眼花・腿酸（しびれ）・脚軟（だるく）、五心煩熱（ほめき）し、口苦く口乾き、力無く、好（よ）く眠り、食少なく、胸膈利せざる者　1780　鍼灸極秘伝　木村太沖.jpg</t>
  </si>
  <si>
    <t>ちゅう　注車注船　ふねによう　1686　鍼灸要法指南　岩田利斎.jpg</t>
  </si>
  <si>
    <t>ちゅう　肘攣筋痛　1329　扁鵲神応鍼灸玉龍経　元・王国瑞_ページ_1.jpg</t>
  </si>
  <si>
    <t>ちゅう　肘攣筋痛　1329　扁鵲神応鍼灸玉龍経　元・王国瑞_ページ_2.jpg</t>
  </si>
  <si>
    <t>ちゅう　肘痛　1220　鍼灸資生経　王執中_ページ_1.jpg</t>
  </si>
  <si>
    <t>ちゅう　肘痛　1220　鍼灸資生経　王執中_ページ_2.jpg</t>
  </si>
  <si>
    <t>ちゅう　肘痛　1912年（大正01）　鍼灸手引草　久木田七郎.jpg</t>
  </si>
  <si>
    <t>ちゅう　肘臂　1669　鍼灸枢要　山本玄通_ページ_1.jpg</t>
  </si>
  <si>
    <t>ちゅう　肘臂　1669　鍼灸枢要　山本玄通_ページ_2.jpg</t>
  </si>
  <si>
    <t>ちゅう　肘臂　1669　鍼灸枢要　山本玄通_ページ_3.jpg</t>
  </si>
  <si>
    <t>ちゅう　肘臂　1669　鍼灸枢要　山本玄通_ページ_4.jpg</t>
  </si>
  <si>
    <t>ちゅう　肘臂　1800　鍼灸備要　小坂元祐.jpg</t>
  </si>
  <si>
    <t>ちゅう　虫獣　1773　鍼灸手引草　大簡室主人.jpg</t>
  </si>
  <si>
    <t>ちゅう　虫獣　むしけものにかまるる　1718　鍼灸重宝記　本郷正豊.jpg</t>
  </si>
  <si>
    <t>ちゅう　虫獣傷　1686　鍼灸要法指南　岩田利斎.jpg</t>
  </si>
  <si>
    <t>ちゅう　虫証　むしのわく病　虫症　1887（明治20）　鍼灸備要　青山道醇.jpg</t>
  </si>
  <si>
    <t>ちゅう　諸虫　1669　鍼灸枢要　山本玄通_ページ_1.jpg</t>
  </si>
  <si>
    <t>ちゅう　諸虫　1669　鍼灸枢要　山本玄通_ページ_2.jpg</t>
  </si>
  <si>
    <t>ちゅう　諸虫　1669　鍼灸枢要　山本玄通_ページ_3.jpg</t>
  </si>
  <si>
    <t>ちゅう　諸虫　1680　鍼灸抜萃　著者未詳.jpg</t>
  </si>
  <si>
    <t>ちゅう　諸虫　1686　鍼灸要法指南　岩田利斎.jpg</t>
  </si>
  <si>
    <t>ちゅう　諸虫　1693　鍼灸要歌集　安井昌玄_ページ_1.jpg</t>
  </si>
  <si>
    <t>ちゅう　諸虫　1693　鍼灸要歌集　安井昌玄_ページ_2.jpg</t>
  </si>
  <si>
    <t>ちゅう　諸虫　1693　鍼灸要歌集　安井昌玄_ページ_3.jpg</t>
  </si>
  <si>
    <t>ちゅう　諸虫　1693　鍼灸要歌集　安井昌玄_ページ_4.jpg</t>
  </si>
  <si>
    <t>ちゅう　諸虫　1696　広益鍼灸抜萃　著者未詳_ページ_1.jpg</t>
  </si>
  <si>
    <t>ちゅう　諸虫　1696　広益鍼灸抜萃　著者未詳_ページ_2.jpg</t>
  </si>
  <si>
    <t>ちゅう　諸虫　1696　広益鍼灸抜萃　著者未詳_ページ_3.jpg</t>
  </si>
  <si>
    <t>ちゅう　諸虫　1696　広益鍼灸抜萃　著者未詳_ページ_4.jpg</t>
  </si>
  <si>
    <t>ちゅう　諸虫　1792　鍼法要集　源長起_ページ_1.jpg</t>
  </si>
  <si>
    <t>ちゅう　諸虫　1792　鍼法要集　源長起_ページ_2.jpg</t>
  </si>
  <si>
    <t>ちゅう　諸虫　1792　鍼法要集　源長起_ページ_3.jpg</t>
  </si>
  <si>
    <t>ちゅう　諸虫　1792　鍼法要集　源長起_ページ_4.jpg</t>
  </si>
  <si>
    <t>ちゅう　諸虫　1794　杉山流鍼術　島浦和田一_ページ_1.jpg</t>
  </si>
  <si>
    <t>ちゅう　諸虫　1794　杉山流鍼術　島浦和田一_ページ_2.jpg</t>
  </si>
  <si>
    <t>ちゅう　諸虫　1794　杉山流鍼術　島浦和田一_ページ_3.jpg</t>
  </si>
  <si>
    <t>ちゅう　諸虫　もろもろのむし　1718　鍼灸重宝記　本郷正豊_ページ_1.jpg</t>
  </si>
  <si>
    <t>ちゅう　諸虫　同図　1679　鍼法奇貨　渡辺東伯_ページ_01.jpg</t>
  </si>
  <si>
    <t>ちゅう　諸虫　同図　1679　鍼法奇貨　渡辺東伯_ページ_02.jpg</t>
  </si>
  <si>
    <t>ちゅう　諸虫　同図　1679　鍼法奇貨　渡辺東伯_ページ_03.jpg</t>
  </si>
  <si>
    <t>ちゅう　諸虫　同図　1679　鍼法奇貨　渡辺東伯_ページ_04.jpg</t>
  </si>
  <si>
    <t>ちゅう　諸虫　同図　1679　鍼法奇貨　渡辺東伯_ページ_05.jpg</t>
  </si>
  <si>
    <t>ちゅう　諸虫　同図　1679　鍼法奇貨　渡辺東伯_ページ_06.jpg</t>
  </si>
  <si>
    <t>ちゅう　諸虫　同図　1679　鍼法奇貨　渡辺東伯_ページ_07.jpg</t>
  </si>
  <si>
    <t>ちゅう　諸虫　同図　1679　鍼法奇貨　渡辺東伯_ページ_08.jpg</t>
  </si>
  <si>
    <t>ちゅう　諸虫　同図　1679　鍼法奇貨　渡辺東伯_ページ_09.jpg</t>
  </si>
  <si>
    <t>ちゅう　諸虫　同図　1679　鍼法奇貨　渡辺東伯_ページ_10.jpg</t>
  </si>
  <si>
    <t>ちゅう　諸虫　同図　1679　鍼法奇貨　渡辺東伯_ページ_11.jpg</t>
  </si>
  <si>
    <t>ちゅう　諸虫　同図　1679　鍼法奇貨　渡辺東伯_ページ_12.jpg</t>
  </si>
  <si>
    <t>ちゅう　諸虫　同図　1679　鍼法奇貨　渡辺東伯_ページ_13.jpg</t>
  </si>
  <si>
    <t>ちゅう　諸虫　同図　1679　鍼法奇貨　渡辺東伯_ページ_14.jpg</t>
  </si>
  <si>
    <t>ちゅう　諸虫　同図　1679　鍼法奇貨　渡辺東伯_ページ_15.jpg</t>
  </si>
  <si>
    <t>ちゅう　諸虫　同図　1679　鍼法奇貨　渡辺東伯_ページ_16.jpg</t>
  </si>
  <si>
    <t>ちゅう　諸虫　成書年未詳　灸穴集　著者未詳_ページ_1.jpg</t>
  </si>
  <si>
    <t>ちゅう　諸虫　成書年未詳　灸穴集　著者未詳_ページ_2.jpg</t>
  </si>
  <si>
    <t>ちゅう　諸虫　成書年未詳　灸穴集　著者未詳_ページ_3.jpg</t>
  </si>
  <si>
    <t>ちゅう　諸蟲門　もろもろのむしの事　1694　療治之大概集　杉山和一.jpg</t>
  </si>
  <si>
    <t>ちょう　ちょうか　1694　選鍼三要集　杉山和一.jpg</t>
  </si>
  <si>
    <t>ちょう　ちょうか（ちょうか）　ふる血のかたまり　子宮血塊　1887（明治20）　鍼灸備要　青山道醇.jpg</t>
  </si>
  <si>
    <t>ちょう　疔　1773　鍼灸手引草　大簡室主人.jpg</t>
  </si>
  <si>
    <t>ちょう　疔　丁瘡　1226　備急灸法　宋・聞人耆年.jpg</t>
  </si>
  <si>
    <t>ちょう　疔　庁　　面の内　手足にせつの出（きる）もの　1780　鍼灸極秘伝　木村太沖.jpg</t>
  </si>
  <si>
    <t>ちょう　疔　諸悪瘡　1807　続名家灸選　平井庸信_ページ_1.jpg</t>
  </si>
  <si>
    <t>ちょう　疔　諸悪瘡　1807　続名家灸選　平井庸信_ページ_2.jpg</t>
  </si>
  <si>
    <t>ちょう　疔毒頭面　成書年未詳　灸穴集　著者未詳.jpg</t>
  </si>
  <si>
    <t>ちょう　疔瘡　1220　鍼灸資生経　王執中_ページ_1.jpg</t>
  </si>
  <si>
    <t>ちょう　疔瘡　1220　鍼灸資生経　王執中_ページ_2.jpg</t>
  </si>
  <si>
    <t>ちょう　疔瘡　1686　鍼灸要法指南　岩田利斎_ページ_1.jpg</t>
  </si>
  <si>
    <t>ちょう　疔瘡　1686　鍼灸要法指南　岩田利斎_ページ_2.jpg</t>
  </si>
  <si>
    <t>ちょう　疔瘡法　1807　続名家灸選　平井庸信.jpg</t>
  </si>
  <si>
    <t>ちょう　疔腫　1813　名家灸選三編　平井庸信.jpg</t>
  </si>
  <si>
    <t>ちょう　癰　疔　諸悪瘡　1807　続名家灸選　平井庸信_ページ_1.jpg</t>
  </si>
  <si>
    <t>ちょう　癰　疔　諸悪瘡　1807　続名家灸選　平井庸信_ページ_2.jpg</t>
  </si>
  <si>
    <t>ちょう　積聚　ちょうか　1807　続名家灸選　平井庸信_ページ_1.jpg</t>
  </si>
  <si>
    <t>ちょう　積聚　ちょうか　1807　続名家灸選　平井庸信_ページ_2.jpg</t>
  </si>
  <si>
    <t>ちょう　積聚　ちょうか　1807　続名家灸選　平井庸信_ページ_3.jpg</t>
  </si>
  <si>
    <t>ちょう　積聚　ちょうか　1807　続名家灸選　平井庸信_ページ_4.jpg</t>
  </si>
  <si>
    <t>ちょう　脹　0300　●五臓六ぷ脹　第三　鍼灸甲乙経　皇甫謐_ページ_1.jpg</t>
  </si>
  <si>
    <t>ちょう　脹　0300　●五臓六ぷ脹　第三　鍼灸甲乙経　皇甫謐_ページ_2.jpg</t>
  </si>
  <si>
    <t>ちょう　脹　0300　●五臓六ぷ脹　第三　鍼灸甲乙経　皇甫謐_ページ_3.jpg</t>
  </si>
  <si>
    <t>ちょう　脹満　1563　鍼灸集要　曲直瀬道三.jpg</t>
  </si>
  <si>
    <t>ちょう　脹満　1574　兪穴参伍的法　秦宗巴.jpg</t>
  </si>
  <si>
    <t>ちょう　脹満　1669　鍼灸枢要　山本玄通_ページ_1.jpg</t>
  </si>
  <si>
    <t>ちょう　脹満　1669　鍼灸枢要　山本玄通_ページ_2.jpg</t>
  </si>
  <si>
    <t>ちょう　脹満　1669　鍼灸枢要　山本玄通_ページ_3.jpg</t>
  </si>
  <si>
    <t>ちょう　脹満　1669　鍼灸枢要　山本玄通_ページ_4.jpg</t>
  </si>
  <si>
    <t>ちょう　脹満　1669　鍼灸枢要　山本玄通_ページ_5.jpg</t>
  </si>
  <si>
    <t>ちょう　脹満　1669　鍼灸枢要　山本玄通_ページ_6.jpg</t>
  </si>
  <si>
    <t>ちょう　脹満　1669　鍼灸枢要　山本玄通_ページ_7.jpg</t>
  </si>
  <si>
    <t>ちょう　脹満　1669　鍼灸枢要　山本玄通_ページ_8.jpg</t>
  </si>
  <si>
    <t>ちょう　脹満　1679　鍼法奇貨　渡辺東伯_ページ_1.jpg</t>
  </si>
  <si>
    <t>ちょう　脹満　1679　鍼法奇貨　渡辺東伯_ページ_2.jpg</t>
  </si>
  <si>
    <t>ちょう　脹満　1679　鍼法奇貨　渡辺東伯_ページ_3.jpg</t>
  </si>
  <si>
    <t>ちょう　脹満　1680　鍼灸抜萃　著者未詳.jpg</t>
  </si>
  <si>
    <t>ちょう　脹満　1693　鍼灸要歌集　安井昌玄_ページ_1.jpg</t>
  </si>
  <si>
    <t>ちょう　脹満　1693　鍼灸要歌集　安井昌玄_ページ_2.jpg</t>
  </si>
  <si>
    <t>ちょう　脹満　1694　選鍼三要集　杉山和一.jpg</t>
  </si>
  <si>
    <t>ちょう　脹満　1694　鍼灸そかい集　高津敬節.jpg</t>
  </si>
  <si>
    <t>ちょう　脹満　1696　広益鍼灸抜萃　著者未詳.jpg</t>
  </si>
  <si>
    <t>ちょう　脹満　1698　鍼灸抜粋大成　岡本一抱.jpg</t>
  </si>
  <si>
    <t>ちょう　脹満　1773　鍼灸手引草　大簡室主人_ページ_1.jpg</t>
  </si>
  <si>
    <t>ちょう　脹満　1773　鍼灸手引草　大簡室主人_ページ_2.jpg</t>
  </si>
  <si>
    <t>ちょう　脹満　1785　鍼書　本城義軒.jpg</t>
  </si>
  <si>
    <t>ちょう　脹満　1794　杉山流鍼術　島浦和田一_ページ_1.jpg</t>
  </si>
  <si>
    <t>ちょう　脹満　1794　杉山流鍼術　島浦和田一_ページ_2.jpg</t>
  </si>
  <si>
    <t>ちょう　脹満　1800　岡田流鍼術書　岡田見龍_ページ_1.jpg</t>
  </si>
  <si>
    <t>ちょう　脹満　1800　岡田流鍼術書　岡田見龍_ページ_2.jpg</t>
  </si>
  <si>
    <t>ちょう　脹満　1800　鍼灸備要　小坂元祐_ページ_1.jpg</t>
  </si>
  <si>
    <t>ちょう　脹満　1800　鍼灸備要　小坂元祐_ページ_2.jpg</t>
  </si>
  <si>
    <t>ちょう　脹満　1800　鍼灸備要　小坂元祐_ページ_3.jpg</t>
  </si>
  <si>
    <t>ちょう　脹満　かめばら　1718　鍼灸重宝記　本郷正豊.jpg</t>
  </si>
  <si>
    <t>ちょう　脹満　成書年未詳　灸穴集　著者未詳_ページ_1.jpg</t>
  </si>
  <si>
    <t>ちょう　脹満　成書年未詳　灸穴集　著者未詳_ページ_2.jpg</t>
  </si>
  <si>
    <t>ちょう　脹満　成書年未詳　灸穴集　著者未詳_ページ_3.jpg</t>
  </si>
  <si>
    <t>ちょう　脹満　成書年未詳　灸穴集　著者未詳_ページ_4.jpg</t>
  </si>
  <si>
    <t>ちょう　脹満　成書年未詳　灸穴集　著者未詳_ページ_5.jpg</t>
  </si>
  <si>
    <t>ちょう　脹満　成書年未詳　経穴図解　著者未詳_ページ_1.jpg</t>
  </si>
  <si>
    <t>ちょう　脹満　成書年未詳　経穴図解　著者未詳_ページ_2.jpg</t>
  </si>
  <si>
    <t>ちょう　脹満　腹の脹る病の事　1694　療治之大概集　杉山和一.jpg</t>
  </si>
  <si>
    <t>ちょう　脹満病　0650　千金方　孫思ばく_ページ_1.jpg</t>
  </si>
  <si>
    <t>ちょう　脹満病　0650　千金方　孫思ばく_ページ_2.jpg</t>
  </si>
  <si>
    <t>ちょう　脹満病　0650　千金方　孫思ばく_ページ_3.jpg</t>
  </si>
  <si>
    <t>ちょう　脹満（ちやうまん）　ちやうまん　腹水　1887（明治20）　鍼灸備要　青山道醇.jpg</t>
  </si>
  <si>
    <t>ちょう　腸へき　1220　鍼灸資生経　王執中_ページ_1.jpg</t>
  </si>
  <si>
    <t>ちょう　腸へき　1220　鍼灸資生経　王執中_ページ_2.jpg</t>
  </si>
  <si>
    <t>ちょう　腸痔大便部　1425　神応経　明・陳会撰・劉瑾重校_ページ_1.jpg</t>
  </si>
  <si>
    <t>ちょう　腸痔大便部　1425　神応経　明・陳会撰・劉瑾重校_ページ_2.jpg</t>
  </si>
  <si>
    <t>ちょう　腸痛（余見腸へき）　1220　鍼灸資生経　王執中.jpg</t>
  </si>
  <si>
    <t>ちょう　腸癰　1226　備急灸法　宋・聞人耆年_ページ_1.jpg</t>
  </si>
  <si>
    <t>ちょう　腸癰　1226　備急灸法　宋・聞人耆年_ページ_2.jpg</t>
  </si>
  <si>
    <t>ちょう　腸癰　成書年未詳　灸穴集　著者未詳.jpg</t>
  </si>
  <si>
    <t>ちょう　腸癰　成書年未詳　灸穴集　著者未詳_ページ_1.jpg</t>
  </si>
  <si>
    <t>ちょう　腸癰　成書年未詳　灸穴集　著者未詳_ページ_2.jpg</t>
  </si>
  <si>
    <t>ちょう　腸辟泄痢　1574　兪穴参伍的法　秦宗巴_ページ_1.jpg</t>
  </si>
  <si>
    <t>ちょう　腸辟泄痢　1574　兪穴参伍的法　秦宗巴_ページ_2.jpg</t>
  </si>
  <si>
    <t>ちょう　腸風　1220　鍼灸資生経　王執中.jpg</t>
  </si>
  <si>
    <t>ちょう　腸風諸痔　1703　鍼灸阿是要穴　岡本一抱.jpg</t>
  </si>
  <si>
    <t>ちょう　腸鳴（腹鳴）　1220　鍼灸資生経　王執中_ページ_1.jpg</t>
  </si>
  <si>
    <t>ちょう　腸鳴（腹鳴）　1220　鍼灸資生経　王執中_ページ_2.jpg</t>
  </si>
  <si>
    <t>ちょう　調経　附　帯下　1694　鍼灸そかい集　高津敬節_ページ_1.jpg</t>
  </si>
  <si>
    <t>ちょう　調経　附　帯下　1694　鍼灸そかい集　高津敬節_ページ_2.jpg</t>
  </si>
  <si>
    <t>ちょう　頂腫痛　1220　鍼灸資生経　王執中.jpg</t>
  </si>
  <si>
    <t>ちょうか（余見疝か）　1220　鍼灸資生経　王執中_ページ_1.jpg</t>
  </si>
  <si>
    <t>ちょうか（余見疝か）　1220　鍼灸資生経　王執中_ページ_2.jpg</t>
  </si>
  <si>
    <t>ちょく　直視　めをみつめる　1765　鍼法弁惑　藤井秀孟.jpg</t>
  </si>
  <si>
    <t>ちょく　直視噤口　1765　鍼法弁惑　藤井秀孟.jpg</t>
  </si>
  <si>
    <t>つい　堕墜　1693　鍼灸要歌集　安井昌玄.jpg</t>
  </si>
  <si>
    <t>つい　墜胎　1686　鍼灸要法指南　岩田利斎.jpg</t>
  </si>
  <si>
    <t>つう　痛風　1537　鍼灸聚英　明・高武_ページ_1.jpg</t>
  </si>
  <si>
    <t>つう　痛風　1537　鍼灸聚英　明・高武_ページ_2.jpg</t>
  </si>
  <si>
    <t>つう　痛風　1563　鍼灸集要　曲直瀬道三.jpg</t>
  </si>
  <si>
    <t>つう　痛風　1686　鍼灸要法指南　岩田利斎.jpg</t>
  </si>
  <si>
    <t>つう　痛風　1698　鍼灸抜粋大成　岡本一抱.jpg</t>
  </si>
  <si>
    <t>つう　痛風　1718　つうふう　鍼灸重宝記　本郷正豊.jpg</t>
  </si>
  <si>
    <t>つう　痛風　1767　鍼灸則　菅沼周桂.jpg</t>
  </si>
  <si>
    <t>つう　痛風　1773　鍼灸手引草　大簡室主人.jpg</t>
  </si>
  <si>
    <t>つう　痛風　成書年未詳　灸穴集　著者未詳.jpg</t>
  </si>
  <si>
    <t>つう　痛風　成書年未詳　経穴図解　著者未詳.jpg</t>
  </si>
  <si>
    <t>つう　痛風脚気　1792　鍼法要集　源長起_ページ_1.jpg</t>
  </si>
  <si>
    <t>つう　痛風脚気　1792　鍼法要集　源長起_ページ_2.jpg</t>
  </si>
  <si>
    <t>つう　痛風脚気　1792　鍼法要集　源長起_ページ_3.jpg</t>
  </si>
  <si>
    <t>つう　諸痛　1686　鍼灸要法指南　岩田利斎.jpg</t>
  </si>
  <si>
    <t>つう　諸痛　1785　鍼書　本城義軒.jpg</t>
  </si>
  <si>
    <t>つう　諸痛針意　1613　古今集鍼法　長生庵了味か.jpg</t>
  </si>
  <si>
    <t>てい　てい耳（ていに）　みみだり　耳道加多児（カタル）　1887（明治20）　鍼灸備要　青山道醇.jpg</t>
  </si>
  <si>
    <t>てい　てい耳（生瘡）　1220　鍼灸資生経　王執中.jpg</t>
  </si>
  <si>
    <t>てい　嚔　1669　鍼灸枢要　山本玄通_ページ_1.jpg</t>
  </si>
  <si>
    <t>てい　嚔　1669　鍼灸枢要　山本玄通_ページ_2.jpg</t>
  </si>
  <si>
    <t>てん　天行中風（てんこうちうふう）　はやりかせ　流行性感冒　1887（明治20）　鍼灸備要　青山道醇.jpg</t>
  </si>
  <si>
    <t>てん　天行赤眼（てんかうしやくぐわん）　はやりめ、又、やみめ　結膜炎　1887（明治20）　鍼灸備要　青山道醇.jpg</t>
  </si>
  <si>
    <t>てん　心邪癲狂部　1425　神応経　明・陳会撰・劉瑾重校_ページ_1.jpg</t>
  </si>
  <si>
    <t>てん　心邪癲狂部　1425　神応経　明・陳会撰・劉瑾重校_ページ_2.jpg</t>
  </si>
  <si>
    <t>てん　心邪癲狂部　1425　神応経　明・陳会撰・劉瑾重校_ページ_3.jpg</t>
  </si>
  <si>
    <t>てん　癲　狂　癇　1669　鍼灸枢要　山本玄通_ページ_01.jpg</t>
  </si>
  <si>
    <t>てん　癲　狂　癇　1669　鍼灸枢要　山本玄通_ページ_02.jpg</t>
  </si>
  <si>
    <t>てん　癲　狂　癇　1669　鍼灸枢要　山本玄通_ページ_03.jpg</t>
  </si>
  <si>
    <t>てん　癲　狂　癇　1669　鍼灸枢要　山本玄通_ページ_04.jpg</t>
  </si>
  <si>
    <t>てん　癲　狂　癇　1669　鍼灸枢要　山本玄通_ページ_05.jpg</t>
  </si>
  <si>
    <t>てん　癲　狂　癇　1669　鍼灸枢要　山本玄通_ページ_06.jpg</t>
  </si>
  <si>
    <t>てん　癲　狂　癇　1669　鍼灸枢要　山本玄通_ページ_07.jpg</t>
  </si>
  <si>
    <t>てん　癲　狂　癇　1669　鍼灸枢要　山本玄通_ページ_08.jpg</t>
  </si>
  <si>
    <t>てん　癲　狂　癇　1669　鍼灸枢要　山本玄通_ページ_09.jpg</t>
  </si>
  <si>
    <t>てん　癲　狂　癇　1669　鍼灸枢要　山本玄通_ページ_10.jpg</t>
  </si>
  <si>
    <t>てん　癲狂　1698　鍼灸抜粋大成　岡本一抱_ページ_1.jpg</t>
  </si>
  <si>
    <t>てん　癲狂　1698　鍼灸抜粋大成　岡本一抱_ページ_2.jpg</t>
  </si>
  <si>
    <t>てん　癲狂　1767　鍼灸則　菅沼周桂.jpg</t>
  </si>
  <si>
    <t>てん　癲狂　1800　岡田流鍼術書　岡田見龍_ページ_1.jpg</t>
  </si>
  <si>
    <t>てん　癲狂　1800　岡田流鍼術書　岡田見龍_ページ_2.jpg</t>
  </si>
  <si>
    <t>てん　癲狂　1800　鍼灸備要　小坂元祐_ページ_1.jpg</t>
  </si>
  <si>
    <t>てん　癲狂　1800　鍼灸備要　小坂元祐_ページ_2.jpg</t>
  </si>
  <si>
    <t>てん　癲狂　1800　鍼灸備要　小坂元祐_ページ_3.jpg</t>
  </si>
  <si>
    <t>てん　癲狂　1800　鍼灸備要　小坂元祐_ページ_4.jpg</t>
  </si>
  <si>
    <t>てん　癲狂　1813　名家灸選　浅井惟亨_ページ_1.jpg</t>
  </si>
  <si>
    <t>てん　癲狂　1813　名家灸選　浅井惟亨_ページ_2.jpg</t>
  </si>
  <si>
    <t>てん　癲狂　1813　名家灸選三編　平井庸信.jpg</t>
  </si>
  <si>
    <t>てん　癲狂　癲癇　1912年（大正01）　鍼灸手引草　久木田七郎_ページ_1.jpg</t>
  </si>
  <si>
    <t>てん　癲狂　癲癇　1912年（大正01）　鍼灸手引草　久木田七郎_ページ_2.jpg</t>
  </si>
  <si>
    <t>てん　癲狂　諸癇　1686　鍼灸要法指南　岩田利斎_ページ_1.jpg</t>
  </si>
  <si>
    <t>てん　癲狂　諸癇　1686　鍼灸要法指南　岩田利斎_ページ_2.jpg</t>
  </si>
  <si>
    <t>てん　癲狂（狂走、狂言）　1220　鍼灸資生経　王執中_ページ_1.jpg</t>
  </si>
  <si>
    <t>てん　癲狂（狂走、狂言）　1220　鍼灸資生経　王執中_ページ_2.jpg</t>
  </si>
  <si>
    <t>てん　癲狂（狂走、狂言）　1220　鍼灸資生経　王執中_ページ_3.jpg</t>
  </si>
  <si>
    <t>てん　癲疾　0650　千金方　孫思ばく_ページ_1.jpg</t>
  </si>
  <si>
    <t>てん　癲疾　0650　千金方　孫思ばく_ページ_2.jpg</t>
  </si>
  <si>
    <t>てん　癲疾　1574　兪穴参伍的法　秦宗巴_ページ_1.jpg</t>
  </si>
  <si>
    <t>てん　癲疾　1574　兪穴参伍的法　秦宗巴_ページ_2.jpg</t>
  </si>
  <si>
    <t>てん　癲疾（余論見風癇）　1220　鍼灸資生経　王執中_ページ_1.jpg</t>
  </si>
  <si>
    <t>てん　癲疾（余論見風癇）　1220　鍼灸資生経　王執中_ページ_2.jpg</t>
  </si>
  <si>
    <t>てん　癲病狂病　1299　続添要穴集　惟宗時俊_ページ_1.jpg</t>
  </si>
  <si>
    <t>てん　癲病狂病　1299　続添要穴集　惟宗時俊_ページ_2.jpg</t>
  </si>
  <si>
    <t>てん　癲癇　1220　鍼灸資生経　王執中_ページ_1.jpg</t>
  </si>
  <si>
    <t>てん　癲癇　1220　鍼灸資生経　王執中_ページ_2.jpg</t>
  </si>
  <si>
    <t>てん　癲癇　1607　扁鵲新流鍼書　越齋寿閑_ページ_1.jpg</t>
  </si>
  <si>
    <t>てん　癲癇　1607　扁鵲新流鍼書　越齋寿閑_ページ_2.jpg</t>
  </si>
  <si>
    <t>てん　癲癇　1680　鍼灸抜萃　著者未詳.jpg</t>
  </si>
  <si>
    <t>てん　癲癇　1693　鍼灸要歌集　安井昌玄_ページ_1.jpg</t>
  </si>
  <si>
    <t>てん　癲癇　1693　鍼灸要歌集　安井昌玄_ページ_2.jpg</t>
  </si>
  <si>
    <t>てん　癲癇　1694　くつちかきの事　療治之大概集　杉山和一.jpg</t>
  </si>
  <si>
    <t>てん　癲癇　1694　選鍼三要集　杉山和一_ページ_1.jpg</t>
  </si>
  <si>
    <t>てん　癲癇　1694　選鍼三要集　杉山和一_ページ_2.jpg</t>
  </si>
  <si>
    <t>てん　癲癇　1696　広益鍼灸抜萃　著者未詳_ページ_1.jpg</t>
  </si>
  <si>
    <t>てん　癲癇　1696　広益鍼灸抜萃　著者未詳_ページ_2.jpg</t>
  </si>
  <si>
    <t>てん　癲癇　1718　くつち　鍼灸重宝記　本郷正豊.jpg</t>
  </si>
  <si>
    <t>てん　癲癇　1758　灸ぜつ塩土伝　三宅意安_ページ_1.jpg</t>
  </si>
  <si>
    <t>てん　癲癇　1758　灸ぜつ塩土伝　三宅意安_ページ_2.jpg</t>
  </si>
  <si>
    <t>てん　癲癇　1758　灸ぜつ塩土伝　三宅意安_ページ_3.jpg</t>
  </si>
  <si>
    <t>てん　癲癇　1773　鍼灸手引草　大簡室主人.jpg</t>
  </si>
  <si>
    <t>てん　癲癇　1780　てんかん　鍼灸極秘伝　木村太沖.jpg</t>
  </si>
  <si>
    <t>てん　癲癇　1792　鍼法要集　源長起_ページ_1.jpg</t>
  </si>
  <si>
    <t>てん　癲癇　1792　鍼法要集　源長起_ページ_2.jpg</t>
  </si>
  <si>
    <t>てん　癲癇　1887（明治20）　鍼灸備要　青山道醇.jpg</t>
  </si>
  <si>
    <t>てん　癲癇　成書年未詳　灸穴集　著者未詳_ページ_1.jpg</t>
  </si>
  <si>
    <t>てん　癲癇　成書年未詳　灸穴集　著者未詳_ページ_2.jpg</t>
  </si>
  <si>
    <t>てん　癲癇　成書年未詳　灸穴集　著者未詳_ページ_3.jpg</t>
  </si>
  <si>
    <t>てん　癲癇　成書年未詳　灸穴集　著者未詳_ページ_4.jpg</t>
  </si>
  <si>
    <t>てん　癲癇　成書年未詳　灸穴集　著者未詳_ページ_5.jpg</t>
  </si>
  <si>
    <t>てん　癲癇　成書年未詳　灸穴集　著者未詳_ページ_6.jpg</t>
  </si>
  <si>
    <t>てん　癲癇　成書年未詳　灸穴集　著者未詳_ページ_7.jpg</t>
  </si>
  <si>
    <t>てん　癲癇　成書年未詳　灸穴集　著者未詳_ページ_8.jpg</t>
  </si>
  <si>
    <t>てん　癲癇　成書年未詳　経穴図解　著者未詳.jpg</t>
  </si>
  <si>
    <t>てん　癲癇　狂　失　1807　続名家灸選　平井庸信_ページ_1.jpg</t>
  </si>
  <si>
    <t>てん　癲癇　狂　失　1807　続名家灸選　平井庸信_ページ_2.jpg</t>
  </si>
  <si>
    <t>てん　癲癇　狂　失　1807　続名家灸選　平井庸信_ページ_3.jpg</t>
  </si>
  <si>
    <t>てん　癲癇　狂　失　1807　続名家灸選　平井庸信_ページ_4.jpg</t>
  </si>
  <si>
    <t>てん　癲癇　附　狂症　1694　鍼灸そかい集　高津敬節_ページ_1.jpg</t>
  </si>
  <si>
    <t>てん　癲癇　附　狂症　1694　鍼灸そかい集　高津敬節_ページ_2.jpg</t>
  </si>
  <si>
    <t>てん　癲癇　驚風　けいしょう　1758　灸ぜつ塩土伝　三宅意安_ページ_1.jpg</t>
  </si>
  <si>
    <t>てん　癲癇　驚風　けいしょう　1758　灸ぜつ塩土伝　三宅意安_ページ_2.jpg</t>
  </si>
  <si>
    <t>てん　癲癇けいしょう（小児けいしょう）　1220　鍼灸資生経　王執中_ページ_1.jpg</t>
  </si>
  <si>
    <t>てん　癲癇けいしょう（小児けいしょう）　1220　鍼灸資生経　王執中_ページ_2.jpg</t>
  </si>
  <si>
    <t>てん　癲癇狂　1679　鍼法奇貨　渡辺東伯_ページ_1.jpg</t>
  </si>
  <si>
    <t>てん　癲癇狂　1679　鍼法奇貨　渡辺東伯_ページ_2.jpg</t>
  </si>
  <si>
    <t>てん　癲癇狂　1679　鍼法奇貨　渡辺東伯_ページ_3.jpg</t>
  </si>
  <si>
    <t>てん　癲癇狂　1794　杉山流鍼術　島浦和田一.jpg</t>
  </si>
  <si>
    <t>てん　癲癇秘兪　1758　灸ぜつ塩土伝　三宅意安_ページ_1.jpg</t>
  </si>
  <si>
    <t>てん　癲癇秘兪　1758　灸ぜつ塩土伝　三宅意安_ページ_2.jpg</t>
  </si>
  <si>
    <t>てん　癲邪（鬼邪）　1220　鍼灸資生経　王執中.jpg</t>
  </si>
  <si>
    <t>てん　転ふ（てんふ）　さんごしやうべんつまり　産後尿閉　1887（明治20）　鍼灸備要　青山道醇.jpg</t>
  </si>
  <si>
    <t>てん　転ほう小便不通　1315　鍼経摘英集　元・杜思敬「済生抜粋方」_ページ_1.jpg</t>
  </si>
  <si>
    <t>てん　転ほう小便不通　1315　鍼経摘英集　元・杜思敬「済生抜粋方」_ページ_2.jpg</t>
  </si>
  <si>
    <t>てん　転筋　1594　経脈方寸秘書　曲直瀬道三.jpg</t>
  </si>
  <si>
    <t>てん　転筋　1669　鍼灸枢要　山本玄通_ページ_1.jpg</t>
  </si>
  <si>
    <t>てん　転筋　1669　鍼灸枢要　山本玄通_ページ_2.jpg</t>
  </si>
  <si>
    <t>てん　転筋　1669　鍼灸枢要　山本玄通_ページ_3.jpg</t>
  </si>
  <si>
    <t>てん　転筋　1694　選鍼三要集　杉山和一_ページ_1.jpg</t>
  </si>
  <si>
    <t>てん　転筋　1694　選鍼三要集　杉山和一_ページ_2.jpg</t>
  </si>
  <si>
    <t>てん　転筋　1765　鍼法弁惑　藤井秀孟_ページ_1.jpg</t>
  </si>
  <si>
    <t>てん　転筋　1765　鍼法弁惑　藤井秀孟_ページ_2.jpg</t>
  </si>
  <si>
    <t>てん　転筋　1767　鍼灸則　菅沼周桂.jpg</t>
  </si>
  <si>
    <t>てん　転筋　1800　鍼灸備要　小坂元祐_ページ_1.jpg</t>
  </si>
  <si>
    <t>てん　転筋　1800　鍼灸備要　小坂元祐_ページ_2.jpg</t>
  </si>
  <si>
    <t>てん　転筋・脚気　かっけ、すじのつまる人に　1780　鍼灸極秘伝　木村太沖.jpg</t>
  </si>
  <si>
    <t>てん　転筋（てんきん）　すじつまり　局発痙攣　1887（明治20）　鍼灸備要　青山道醇_ページ_1.jpg</t>
  </si>
  <si>
    <t>てん　転筋（てんきん）　すじつまり　局発痙攣　1887（明治20）　鍼灸備要　青山道醇_ページ_2.jpg</t>
  </si>
  <si>
    <t>てん　転胞　1220　鍼灸資生経　王執中_ページ_1.jpg</t>
  </si>
  <si>
    <t>てん　転胞　1220　鍼灸資生経　王執中_ページ_2.jpg</t>
  </si>
  <si>
    <t>てん　転胞　1686　鍼灸要法指南　岩田利斎.jpg</t>
  </si>
  <si>
    <t>てん　転胞　小便閉　1813　名家灸選三編　平井庸信.jpg</t>
  </si>
  <si>
    <t>てん　転胞小便不通　1226　備急灸法　宋・聞人耆年.jpg</t>
  </si>
  <si>
    <t>でき　水に溺れたる者の針　1912年（大正01）　鍼灸手引草　久木田七郎_ページ_1.jpg</t>
  </si>
  <si>
    <t>でき　水に溺れたる者の針　1912年（大正01）　鍼灸手引草　久木田七郎_ページ_2.jpg</t>
  </si>
  <si>
    <t>でき　溺　みずにおぼるる　1765　鍼法弁惑　藤井秀孟_ページ_1.jpg</t>
  </si>
  <si>
    <t>でき　溺　みずにおぼるる　1765　鍼法弁惑　藤井秀孟_ページ_2.jpg</t>
  </si>
  <si>
    <t>でき　溺死　1698　鍼灸抜粋大成　岡本一抱.jpg</t>
  </si>
  <si>
    <t>でき　溺死　1773　鍼灸手引草　大簡室主人.jpg</t>
  </si>
  <si>
    <t>でき　溺死　みづにおぼれてしぬる　1718　鍼灸重宝記　本郷正豊.jpg</t>
  </si>
  <si>
    <t>でき　溺死　水におぼれたる人　1780　鍼灸極秘伝　木村太沖.jpg</t>
  </si>
  <si>
    <t>でき　溺水　1226　備急灸法　宋・聞人耆年_ページ_1.jpg</t>
  </si>
  <si>
    <t>でき　溺水　1226　備急灸法　宋・聞人耆年_ページ_2.jpg</t>
  </si>
  <si>
    <t>でき　溺水　1613　水溺吐水針穴　古今集鍼法　長生庵了味か.jpg</t>
  </si>
  <si>
    <t>でき　溺水　1680　鍼灸抜萃　著者未詳.jpg</t>
  </si>
  <si>
    <t>でき　溺水　1686　みずにおぼる　鍼灸要法指南　岩田利斎_ページ_1.jpg</t>
  </si>
  <si>
    <t>でき　溺水　1686　みずにおぼる　鍼灸要法指南　岩田利斎_ページ_2.jpg</t>
  </si>
  <si>
    <t>でき　溺水　1693　鍼灸要歌集　安井昌玄.jpg</t>
  </si>
  <si>
    <t>でき　溺水　1696　広益鍼灸抜萃　著者未詳_ページ_1.jpg</t>
  </si>
  <si>
    <t>でき　溺水　1696　広益鍼灸抜萃　著者未詳_ページ_2.jpg</t>
  </si>
  <si>
    <t>でき　溺水　1792　鍼法要集　源長起.jpg</t>
  </si>
  <si>
    <t>でき　溺濁　1680　鍼灸抜萃　著者未詳.jpg</t>
  </si>
  <si>
    <t>でき　溺濁　1693　鍼灸要歌集　安井昌玄_ページ_1.jpg</t>
  </si>
  <si>
    <t>でき　溺濁　1693　鍼灸要歌集　安井昌玄_ページ_2.jpg</t>
  </si>
  <si>
    <t>でき　溺濁　1694　鍼灸そかい集　高津敬節.jpg</t>
  </si>
  <si>
    <t>でき　溺濁　1696　広益鍼灸抜萃　著者未詳_ページ_1.jpg</t>
  </si>
  <si>
    <t>でき　溺濁　1696　広益鍼灸抜萃　著者未詳_ページ_2.jpg</t>
  </si>
  <si>
    <t>でき　溺濁　1773　鍼灸手引草　大簡室主人_ページ_1.jpg</t>
  </si>
  <si>
    <t>でき　溺濁　1773　鍼灸手引草　大簡室主人_ページ_2.jpg</t>
  </si>
  <si>
    <t>でん　伝尸　1703　鍼灸阿是要穴　岡本一抱.jpg</t>
  </si>
  <si>
    <t>でん　伝屍労　1800　鍼灸備要　小坂元祐_ページ_1.jpg</t>
  </si>
  <si>
    <t>でん　伝屍労　1800　鍼灸備要　小坂元祐_ページ_2.jpg</t>
  </si>
  <si>
    <t>でん　癜風　1807　続名家灸選　平井庸信.jpg</t>
  </si>
  <si>
    <t>と　吐乳　1607　扁鵲新流鍼書　越齋寿閑_ページ_1.jpg</t>
  </si>
  <si>
    <t>と　吐乳　1607　扁鵲新流鍼書　越齋寿閑_ページ_2.jpg</t>
  </si>
  <si>
    <t>と　吐乳　1686　鍼灸要法指南　岩田利斎_ページ_1.jpg</t>
  </si>
  <si>
    <t>と　吐乳　1686　鍼灸要法指南　岩田利斎_ページ_2.jpg</t>
  </si>
  <si>
    <t>と　吐乳　1693　鍼灸要歌集　安井昌玄.jpg</t>
  </si>
  <si>
    <t>と　吐乳止まず　小児ちちをはく時　1780　鍼灸極秘伝　木村太沖.jpg</t>
  </si>
  <si>
    <t>と　吐乳（とにう）　ちちをもどす　小児慢性嘔吐　1887（明治20）　鍼灸備要　青山道醇.jpg</t>
  </si>
  <si>
    <t>と　吐瀉　1773　鍼灸手引草　大簡室主人.jpg</t>
  </si>
  <si>
    <t>と　吐瀉　1912年（大正01）　鍼灸手引草　久木田七郎_ページ_1.jpg</t>
  </si>
  <si>
    <t>と　吐瀉　1912年（大正01）　鍼灸手引草　久木田七郎_ページ_2.jpg</t>
  </si>
  <si>
    <t>と　吐瀉　あげくだし　1718　鍼灸重宝記　本郷正豊.jpg</t>
  </si>
  <si>
    <t>と　吐瀉（小児）　1767　鍼灸則　菅沼周桂.jpg</t>
  </si>
  <si>
    <t>と　吐舌不収　1765　鍼法弁惑　藤井秀孟.jpg</t>
  </si>
  <si>
    <t>と　吐舌（又云、弄舌）　舌のながき病、又、方言ながべろ　舌肥大　1887（明治20）　鍼灸備要　青山道醇.jpg</t>
  </si>
  <si>
    <t>と　吐血　1563　鍼灸集要　曲直瀬道三.jpg</t>
  </si>
  <si>
    <t>と　吐血　1574　兪穴参伍的法　秦宗巴_ページ_1.jpg</t>
  </si>
  <si>
    <t>と　吐血　1574　兪穴参伍的法　秦宗巴_ページ_2.jpg</t>
  </si>
  <si>
    <t>と　吐血　1607　扁鵲新流鍼書　越齋寿閑_ページ_1.jpg</t>
  </si>
  <si>
    <t>と　吐血　1607　扁鵲新流鍼書　越齋寿閑_ページ_2.jpg</t>
  </si>
  <si>
    <t>と　吐血　1624　類経図翼　明・張介賓.jpg</t>
  </si>
  <si>
    <t>と　吐血　1624　類経図翼　明・張介賓_ページ_1.jpg</t>
  </si>
  <si>
    <t>と　吐血　1624　類経図翼　明・張介賓_ページ_2.jpg</t>
  </si>
  <si>
    <t>と　吐血　1680　鍼灸抜萃　著者未詳.jpg</t>
  </si>
  <si>
    <t>と　吐血　1686　鍼灸要法指南　岩田利斎.jpg</t>
  </si>
  <si>
    <t>と　吐血　1693　鍼灸要歌集　安井昌玄_ページ_1.jpg</t>
  </si>
  <si>
    <t>と　吐血　1693　鍼灸要歌集　安井昌玄_ページ_2.jpg</t>
  </si>
  <si>
    <t>と　吐血　1696　広益鍼灸抜萃　著者未詳_ページ_1.jpg</t>
  </si>
  <si>
    <t>と　吐血　1696　広益鍼灸抜萃　著者未詳_ページ_2.jpg</t>
  </si>
  <si>
    <t>と　吐血　1767　鍼灸則　菅沼周桂_ページ_1.jpg</t>
  </si>
  <si>
    <t>と　吐血　1767　鍼灸則　菅沼周桂_ページ_2.jpg</t>
  </si>
  <si>
    <t>と　吐血　1773　鍼灸手引草　大簡室主人_ページ_1.jpg</t>
  </si>
  <si>
    <t>と　吐血　1773　鍼灸手引草　大簡室主人_ページ_2.jpg</t>
  </si>
  <si>
    <t>と　吐血　1785　鍼書　本城義軒.jpg</t>
  </si>
  <si>
    <t>と　吐血　1794　杉山流鍼術　島浦和田一.jpg</t>
  </si>
  <si>
    <t>と　吐血　1794　杉山流鍼術　島浦和田一_ページ_1.jpg</t>
  </si>
  <si>
    <t>と　吐血　1794　杉山流鍼術　島浦和田一_ページ_2.jpg</t>
  </si>
  <si>
    <t>と　吐血　下血　成書年未詳　灸穴集　著者未詳_ページ_1.jpg</t>
  </si>
  <si>
    <t>と　吐血　下血　成書年未詳　灸穴集　著者未詳_ページ_2.jpg</t>
  </si>
  <si>
    <t>と　吐血　下血　成書年未詳　灸穴集　著者未詳_ページ_3.jpg</t>
  </si>
  <si>
    <t>と　吐血　嘔血　唾血　咳血　1912年（大正01）　鍼灸手引草　久木田七郎.jpg</t>
  </si>
  <si>
    <t>と　吐血　血へどを吐く病　胃出血　1887（明治20）　鍼灸備要　青山道醇.jpg</t>
  </si>
  <si>
    <t>と　吐血　血をはく人　1780　鍼灸極秘伝　木村太沖.jpg</t>
  </si>
  <si>
    <t>と　吐血　血をはく病の事　1694　療治之大概集　杉山和一.jpg</t>
  </si>
  <si>
    <t>と　吐血　衄血　1698　鍼灸抜粋大成　岡本一抱.jpg</t>
  </si>
  <si>
    <t>と　吐血　附　衂血、咳血、唾血　1694　鍼灸そかい集　高津敬節_ページ_1.jpg</t>
  </si>
  <si>
    <t>と　吐血　附　衂血、咳血、唾血　1694　鍼灸そかい集　高津敬節_ページ_2.jpg</t>
  </si>
  <si>
    <t>と　吐血并衂血・がい血・唾血・咯血　1718　鍼灸重宝記　本郷正豊.jpg</t>
  </si>
  <si>
    <t>と　吐血并衄血　成書年未詳　経穴図解　著者未詳.jpg</t>
  </si>
  <si>
    <t>と　吐血昏暈不省人事　1794　杉山流鍼術　島浦和田一.jpg</t>
  </si>
  <si>
    <t>と　吐血病　0650　千金方　孫思ばく.jpg</t>
  </si>
  <si>
    <t>と　吐衄血　1537　鍼灸聚英　明・高武.jpg</t>
  </si>
  <si>
    <t>と　吐逆　1607　扁鵲新流鍼書　越齋寿閑.jpg</t>
  </si>
  <si>
    <t>と　吐逆　嘔吐　乾嘔　1686　鍼灸要法指南　岩田利斎.jpg</t>
  </si>
  <si>
    <t>とう　倒産　さかご　逆産　1887（明治20）　鍼灸備要　青山道醇.jpg</t>
  </si>
  <si>
    <t>とう　倒睫拳毛（たうせうけんもう）　さかまつげ　睫毛内刺（せうもうなへし）　1887（明治20）　鍼灸備要　青山道醇.jpg</t>
  </si>
  <si>
    <t>とう　悪しき痘瘡にて血熱の甚しき者　あしきとうそうに血をとるべきこと　1780　鍼灸極秘伝　木村太沖.jpg</t>
  </si>
  <si>
    <t>とう　湯火　やけど　1686　鍼灸要法指南　岩田利斎.jpg</t>
  </si>
  <si>
    <t>とう　溏泄　1220　鍼灸資生経　王執中.jpg</t>
  </si>
  <si>
    <t>とう　溏泄下痢　0300　●足太陰厥脈病発溏泄下痢　第五　鍼灸甲乙経　皇甫謐.jpg</t>
  </si>
  <si>
    <t>とう　痘疹之針穴　1613　古今集鍼法　長生庵了味か.jpg</t>
  </si>
  <si>
    <t>とう　痘瘡　1792　鍼法要集　源長起_ページ_1.jpg</t>
  </si>
  <si>
    <t>とう　痘瘡　1792　鍼法要集　源長起_ページ_2.jpg</t>
  </si>
  <si>
    <t>とう　痘瘡　1792　鍼法要集　源長起_ページ_3.jpg</t>
  </si>
  <si>
    <t>とう　痘瘡　いもの事　1694　療治之大概集　杉山和一.jpg</t>
  </si>
  <si>
    <t>とう　痘瘡（小児）　1767　鍼灸則　菅沼周桂_ページ_1.jpg</t>
  </si>
  <si>
    <t>とう　痘瘡（小児）　1767　鍼灸則　菅沼周桂_ページ_2.jpg</t>
  </si>
  <si>
    <t>とう　盗汗　1329　扁鵲神応鍼灸玉龍経　元・王国瑞_ページ_1.jpg</t>
  </si>
  <si>
    <t>とう　盗汗　1329　扁鵲神応鍼灸玉龍経　元・王国瑞_ページ_2.jpg</t>
  </si>
  <si>
    <t>とう　盗汗　1694　選鍼三要集　杉山和一.jpg</t>
  </si>
  <si>
    <t>とう　盗汗　1767　鍼灸則　菅沼周桂.jpg</t>
  </si>
  <si>
    <t>とう　盗汗　ねあせいづる人　1780　鍼灸極秘伝　木村太沖.jpg</t>
  </si>
  <si>
    <t>とう　頭風面腫，項強不得廻顧　1315　鍼経摘英集　元・杜思敬「済生抜粋方」.jpg</t>
  </si>
  <si>
    <t>とく　とく瘡　しらくほ　1686　鍼灸要法指南　岩田利斎.jpg</t>
  </si>
  <si>
    <t>とり　省目　日暮れかたより目のみえぬもの　1780　鍼灸極秘伝　木村太沖.jpg</t>
  </si>
  <si>
    <t>とり　雀目妙灸　1594　経脈方寸秘書　曲直瀬道三.jpg</t>
  </si>
  <si>
    <t>とん　頓死　1686　鍼灸要法指南　岩田利斎.jpg</t>
  </si>
  <si>
    <t>とん　頓死　1693　鍼灸要歌集　安井昌玄.jpg</t>
  </si>
  <si>
    <t>とん　頓死　1773　鍼灸手引草　大簡室主人_ページ_1.jpg</t>
  </si>
  <si>
    <t>とん　頓死　1773　鍼灸手引草　大簡室主人_ページ_2.jpg</t>
  </si>
  <si>
    <t>とん　頓死　にはかにしする　1718　鍼灸重宝記　本郷正豊_ページ_1.jpg</t>
  </si>
  <si>
    <t>とん　頓死　にはかにしする　1718　鍼灸重宝記　本郷正豊_ページ_2.jpg</t>
  </si>
  <si>
    <t>ど　妬（ど）乳　ちぶ　乳房炎　1887（明治20）　鍼灸備要　青山道醇.jpg</t>
  </si>
  <si>
    <t>ど　怒　1686　好怒（このんでいかる）　鍼灸要法指南　岩田利斎.jpg</t>
  </si>
  <si>
    <t>どく　諸毒傷　1624　類経図翼　明・張介賓_ページ_1.jpg</t>
  </si>
  <si>
    <t>どく　諸毒傷　1624　類経図翼　明・張介賓_ページ_2.jpg</t>
  </si>
  <si>
    <t>どく　諸毒傷　1624　類経図翼　明・張介賓_ページ_3.jpg</t>
  </si>
  <si>
    <t>どん　呑酸　1686　鍼灸要法指南　岩田利斎.jpg</t>
  </si>
  <si>
    <t>どん　呑酸　停飲　1669　鍼灸枢要　山本玄通_ページ_1.jpg</t>
  </si>
  <si>
    <t>どん　呑酸　停飲　1669　鍼灸枢要　山本玄通_ページ_2.jpg</t>
  </si>
  <si>
    <t>どん　呑酸　停飲　1669　鍼灸枢要　山本玄通_ページ_3.jpg</t>
  </si>
  <si>
    <t>どん　呑酸　停飲　1800　鍼灸備要　小坂元祐.jpg</t>
  </si>
  <si>
    <t>どん　呑酸　反胃　膈噎　1807　続名家灸選　平井庸信.jpg</t>
  </si>
  <si>
    <t>どん　呑酸　吐酸　1767　鍼灸則　菅沼周桂_ページ_1.jpg</t>
  </si>
  <si>
    <t>どん　呑酸　吐酸　1767　鍼灸則　菅沼周桂_ページ_2.jpg</t>
  </si>
  <si>
    <t>どん　呑酸刺心　むねのやく人　1780　鍼灸極秘伝　木村太沖.jpg</t>
  </si>
  <si>
    <t>どん　呑酸吐酸停飲　1794　杉山流鍼術　島浦和田一.jpg</t>
  </si>
  <si>
    <t>どん　呑酸悪心　1563　鍼灸集要　曲直瀬道三.jpg</t>
  </si>
  <si>
    <t>どん　嘔吐　膈噎　反胃　呑酸　1792　鍼法要集　源長起_ページ_1.jpg</t>
  </si>
  <si>
    <t>どん　嘔吐　膈噎　反胃　呑酸　1792　鍼法要集　源長起_ページ_2.jpg</t>
  </si>
  <si>
    <t>どん　嘔吐　膈噎　反胃　呑酸　1792　鍼法要集　源長起_ページ_3.jpg</t>
  </si>
  <si>
    <t>ない　内下疳、茎中痛　ウミ出るなりりんびょうとはちがふなり　1780　鍼灸極秘伝　木村太沖.jpg</t>
  </si>
  <si>
    <t>ない　内傷　1669　鍼灸枢要　山本玄通_ページ_1.jpg</t>
  </si>
  <si>
    <t>ない　内傷　1669　鍼灸枢要　山本玄通_ページ_2.jpg</t>
  </si>
  <si>
    <t>ない　内傷　1669　鍼灸枢要　山本玄通_ページ_3.jpg</t>
  </si>
  <si>
    <t>ない　内傷　1669　鍼灸枢要　山本玄通_ページ_4.jpg</t>
  </si>
  <si>
    <t>ない　内傷　1686　鍼灸要法指南　岩田利斎.jpg</t>
  </si>
  <si>
    <t>ない　内傷　1693　鍼灸要歌集　安井昌玄.jpg</t>
  </si>
  <si>
    <t>ない　内傷　1767　鍼灸則　菅沼周桂.jpg</t>
  </si>
  <si>
    <t>ない　内傷　1792　鍼法要集　源長起_ページ_1.jpg</t>
  </si>
  <si>
    <t>ない　内傷　1792　鍼法要集　源長起_ページ_2.jpg</t>
  </si>
  <si>
    <t>ない　内熱　1785　鍼書　本城義軒_ページ_1.jpg</t>
  </si>
  <si>
    <t>ない　内熱　1785　鍼書　本城義軒_ページ_2.jpg</t>
  </si>
  <si>
    <t>ない　内障　そこひ　1765　鍼法弁惑　藤井秀孟.jpg</t>
  </si>
  <si>
    <t>なん　なんかん　1624　類経図翼　明・張介賓.jpg</t>
  </si>
  <si>
    <t>なん　なんかん　1694　選鍼三要集　杉山和一.jpg</t>
  </si>
  <si>
    <t>なん　産難横生　1624　類経図翼　明・張介賓.jpg</t>
  </si>
  <si>
    <t>なん　諸難産　1794　杉山流鍼術　島浦和田一.jpg</t>
  </si>
  <si>
    <t>なん　難産　1220　鍼灸資生経　王執中_ページ_1.jpg</t>
  </si>
  <si>
    <t>なん　難産　1220　鍼灸資生経　王執中_ページ_2.jpg</t>
  </si>
  <si>
    <t>なん　難産　1224　医説　宋・張杲.jpg</t>
  </si>
  <si>
    <t>なん　難産　1563　鍼灸集要　曲直瀬道三.jpg</t>
  </si>
  <si>
    <t>なん　難産　1607　扁鵲新流鍼書　越齋寿閑.jpg</t>
  </si>
  <si>
    <t>なん　難産　1686　鍼灸要法指南　岩田利斎_ページ_1.jpg</t>
  </si>
  <si>
    <t>なん　難産　1686　鍼灸要法指南　岩田利斎_ページ_2.jpg</t>
  </si>
  <si>
    <t>なん　難産　1693　鍼灸要歌集　安井昌玄_ページ_1.jpg</t>
  </si>
  <si>
    <t>なん　難産　1693　鍼灸要歌集　安井昌玄_ページ_2.jpg</t>
  </si>
  <si>
    <t>なん　難産　1693　鍼灸要歌集　安井昌玄_ページ_3.jpg</t>
  </si>
  <si>
    <t>なん　難産　1765　鍼法弁惑　藤井秀孟.jpg</t>
  </si>
  <si>
    <t>なん　難産　1767　鍼灸則　菅沼周桂.jpg</t>
  </si>
  <si>
    <t>なん　難産　1794　杉山流鍼術　島浦和田一.jpg</t>
  </si>
  <si>
    <t>なん　難産　なんざん甚だ妙なり必ずすくうべし　1780　鍼灸極秘伝　木村太沖.jpg</t>
  </si>
  <si>
    <t>なん　難産　また方　是を陽龍の伝という人をすくう事たびたびなり、必ずすくうべし　1780　鍼灸極秘伝　木村太沖.jpg</t>
  </si>
  <si>
    <t>なん　難産　むつかしきさん　難産　1887（明治20）　鍼灸備要　青山道醇.jpg</t>
  </si>
  <si>
    <t>なん　難産　産後　1669　鍼灸枢要　山本玄通_ページ_1.jpg</t>
  </si>
  <si>
    <t>なん　難産　産後　1669　鍼灸枢要　山本玄通_ページ_2.jpg</t>
  </si>
  <si>
    <t>なん　難産　産後　1669　鍼灸枢要　山本玄通_ページ_3.jpg</t>
  </si>
  <si>
    <t>なん　難産　産後　1669　鍼灸枢要　山本玄通_ページ_4.jpg</t>
  </si>
  <si>
    <t>なん　難産　産後　1669　鍼灸枢要　山本玄通_ページ_5.jpg</t>
  </si>
  <si>
    <t>なん　難産　産後　1669　鍼灸枢要　山本玄通_ページ_6.jpg</t>
  </si>
  <si>
    <t>なん　難産　産後　1669　鍼灸枢要　山本玄通_ページ_7.jpg</t>
  </si>
  <si>
    <t>なん　難産　産後　1800　鍼灸備要　小坂元祐_ページ_1.jpg</t>
  </si>
  <si>
    <t>なん　難産　産後　1800　鍼灸備要　小坂元祐_ページ_2.jpg</t>
  </si>
  <si>
    <t>なん　難産　産後　1800　鍼灸備要　小坂元祐_ページ_3.jpg</t>
  </si>
  <si>
    <t>なん　難産　産後　1800　鍼灸備要　小坂元祐_ページ_4.jpg</t>
  </si>
  <si>
    <t>なん　難産　産後　1800　鍼灸備要　小坂元祐_ページ_5.jpg</t>
  </si>
  <si>
    <t>なん　難産の針　1912年（大正01）　鍼灸手引草　久木田七郎.jpg</t>
  </si>
  <si>
    <t>に　二便不通　1686　鍼灸要法指南　岩田利斎.jpg</t>
  </si>
  <si>
    <t>に　二便閉　1693　鍼灸要歌集　安井昌玄.jpg</t>
  </si>
  <si>
    <t>に　二陰病　1624　類経図翼　明・張介賓_ページ_1.jpg</t>
  </si>
  <si>
    <t>に　二陰病　1624　類経図翼　明・張介賓_ページ_2.jpg</t>
  </si>
  <si>
    <t>に　二陰病　1624　類経図翼　明・張介賓_ページ_3.jpg</t>
  </si>
  <si>
    <t>に　二陰病　1624　類経図翼　明・張介賓_ページ_4.jpg</t>
  </si>
  <si>
    <t>に　二陰病　1624　類経図翼　明・張介賓_ページ_5.jpg</t>
  </si>
  <si>
    <t>に　二陰病　1624　類経図翼　明・張介賓_ページ_6.jpg</t>
  </si>
  <si>
    <t>に　二陰病　1624　類経図翼　明・張介賓_ページ_7.jpg</t>
  </si>
  <si>
    <t>に　二陰病　1624　類経図翼　明・張介賓_ページ_8.jpg</t>
  </si>
  <si>
    <t>に　二陰病　1761　挨穴捷径　杉原敦_ページ_1.jpg</t>
  </si>
  <si>
    <t>に　二陰病　1761　挨穴捷径　杉原敦_ページ_2.jpg</t>
  </si>
  <si>
    <t>に　二陰病　1761　挨穴捷径　杉原敦_ページ_3.jpg</t>
  </si>
  <si>
    <t>に　二陰病　1761　挨穴捷径　杉原敦_ページ_4.jpg</t>
  </si>
  <si>
    <t>に　二陰病　1761　挨穴捷径　杉原敦_ページ_5.jpg</t>
  </si>
  <si>
    <t>にち　日腫奇兪　1703　鍼灸阿是要穴　岡本一抱.jpg</t>
  </si>
  <si>
    <t>にち　日腫奇兪　1758　灸ぜつ塩土伝　三宅意安.jpg</t>
  </si>
  <si>
    <t>にち　日腫（にっしゅ）　はやけんへき、いきのならぬは即ち卒厥病なり甚だ大切の症なり一時半時の間に死するなり　1780　鍼灸極秘伝　木村太沖.jpg</t>
  </si>
  <si>
    <t>にゅう　乳　1669　鍼灸枢要　山本玄通_ページ_1.jpg</t>
  </si>
  <si>
    <t>にゅう　乳　1669　鍼灸枢要　山本玄通_ページ_2.jpg</t>
  </si>
  <si>
    <t>にゅう　乳不呑　1693　鍼灸要歌集　安井昌玄_ページ_1.jpg</t>
  </si>
  <si>
    <t>にゅう　乳不呑　1693　鍼灸要歌集　安井昌玄_ページ_2.jpg</t>
  </si>
  <si>
    <t>にゅう　乳岩乳癰　1686　鍼灸要法指南　岩田利斎.jpg</t>
  </si>
  <si>
    <t>にゅう　乳汁不出　1686　鍼灸要法指南　岩田利斎.jpg</t>
  </si>
  <si>
    <t>にゅう　乳汁不出　1693　鍼灸要歌集　安井昌玄_ページ_1.jpg</t>
  </si>
  <si>
    <t>にゅう　乳汁不出　1693　鍼灸要歌集　安井昌玄_ページ_2.jpg</t>
  </si>
  <si>
    <t>にゅう　乳汁不通　成書年未詳　灸穴集　著者未詳.jpg</t>
  </si>
  <si>
    <t>にゅう　乳病　1765　鍼法弁惑　藤井秀孟.jpg</t>
  </si>
  <si>
    <t>にゅう　乳病　1765　鍼法弁惑　藤井秀孟_ページ_1.jpg</t>
  </si>
  <si>
    <t>にゅう　乳病　1765　鍼法弁惑　藤井秀孟_ページ_2.jpg</t>
  </si>
  <si>
    <t>にゅう　乳病　1813　名家灸選三編　平井庸信_ページ_1.jpg</t>
  </si>
  <si>
    <t>にゅう　乳病　1813　名家灸選三編　平井庸信_ページ_2.jpg</t>
  </si>
  <si>
    <t>にゅう　乳痛　1912年（大正01）　鍼灸手引草　久木田七郎.jpg</t>
  </si>
  <si>
    <t>にゅう　乳痛　ちぶさのいたむやまひ　乳房神経痛　1887（明治20）　鍼灸備要　青山道醇.jpg</t>
  </si>
  <si>
    <t>にゅう　乳癌乳癰　1693　鍼灸要歌集　安井昌玄_ページ_1.jpg</t>
  </si>
  <si>
    <t>にゅう　乳癌乳癰　1693　鍼灸要歌集　安井昌玄_ページ_2.jpg</t>
  </si>
  <si>
    <t>にゅう　乳癰　1220　鍼灸資生経　王執中_ページ_1.jpg</t>
  </si>
  <si>
    <t>にゅう　乳癰　1220　鍼灸資生経　王執中_ページ_2.jpg</t>
  </si>
  <si>
    <t>にゅう　乳癰　1807　続名家灸選　平井庸信.jpg</t>
  </si>
  <si>
    <t>にゅう　乳癰　ちぶ　乳房膿腫　1887（明治20）　鍼灸備要　青山道醇.jpg</t>
  </si>
  <si>
    <t>にゅう　乳腫痛　1767　鍼灸則　菅沼周桂.jpg</t>
  </si>
  <si>
    <t>にゅう　乳腫痛　ちちのはれたる人　1780　鍼灸極秘伝　木村太沖.jpg</t>
  </si>
  <si>
    <t>にゅう　乳腫痛（乳少 吐だい）　1220　鍼灸資生経　王執中.jpg</t>
  </si>
  <si>
    <t>にゅう　乳閉　ちちのへるやまひ　乳少　1887（明治20）　鍼灸備要　青山道醇.jpg</t>
  </si>
  <si>
    <t>にゅう　乳鵞　1329　扁鵲神応鍼灸玉龍経　元・王国瑞.jpg</t>
  </si>
  <si>
    <t>にょう　小児尿床-02　1758　灸ぜつ塩土伝　三宅意安_ページ_1.jpg</t>
  </si>
  <si>
    <t>にょう　小児尿床-02　1758　灸ぜつ塩土伝　三宅意安_ページ_2.jpg</t>
  </si>
  <si>
    <t>にょう　小児尿床　1758　灸ぜつ塩土伝　三宅意安_ページ_1.jpg</t>
  </si>
  <si>
    <t>にょう　小児尿床　1758　灸ぜつ塩土伝　三宅意安_ページ_2.jpg</t>
  </si>
  <si>
    <t>にょう　尿血　1624　類経図翼　明・張介賓_ページ_1.jpg</t>
  </si>
  <si>
    <t>にょう　尿血　1624　類経図翼　明・張介賓_ページ_2.jpg</t>
  </si>
  <si>
    <t>にょう　尿血　1686　鍼灸要法指南　岩田利斎.jpg</t>
  </si>
  <si>
    <t>にょう　尿血　1694　選鍼三要集　杉山和一.jpg</t>
  </si>
  <si>
    <t>にょう　尿血　小便に血の交りて出る病　腎臓出血　1887（明治20）　鍼灸備要　青山道醇_ページ_1.jpg</t>
  </si>
  <si>
    <t>にょう　尿血　小便に血の交りて出る病　腎臓出血　1887（明治20）　鍼灸備要　青山道醇_ページ_2.jpg</t>
  </si>
  <si>
    <t>にょう　溺濁　　1792　鍼法要集　源長起_ページ_1.jpg</t>
  </si>
  <si>
    <t>にょう　溺濁　　1792　鍼法要集　源長起_ページ_2.jpg</t>
  </si>
  <si>
    <t>にょう　溺濁　いばりにごる　1718　鍼灸重宝記　本郷正豊.jpg</t>
  </si>
  <si>
    <t>にょう　溺血　1767　鍼灸則　菅沼周桂_ページ_1.jpg</t>
  </si>
  <si>
    <t>にょう　溺血　1767　鍼灸則　菅沼周桂_ページ_2.jpg</t>
  </si>
  <si>
    <t>にょう　溺血　1794　杉山流鍼術　島浦和田一.jpg</t>
  </si>
  <si>
    <t>にん　妊娠　1773　鍼灸手引草　大簡室主人_ページ_1.jpg</t>
  </si>
  <si>
    <t>にん　妊娠　1773　鍼灸手引草　大簡室主人_ページ_2.jpg</t>
  </si>
  <si>
    <t>にん　妊娠十月之間灸法　成書年未詳　灸穴集　著者未詳.jpg</t>
  </si>
  <si>
    <t>にん　妊娠安産の灸　1912年（大正01）　鍼灸手引草　久木田七郎.jpg</t>
  </si>
  <si>
    <t>にん　妊娠禁灸穴　成書年未詳　灸穴集　著者未詳.jpg</t>
  </si>
  <si>
    <t>にん　妊婦　はらみおんな　1718　鍼灸重宝記　本郷正豊.jpg</t>
  </si>
  <si>
    <t>にん　妊婦頓に仆る　1693　鍼灸要歌集　安井昌玄.jpg</t>
  </si>
  <si>
    <t>にん　妊婦頓仆　1686　鍼灸要法指南　岩田利斎_ページ_1.jpg</t>
  </si>
  <si>
    <t>にん　妊婦頓仆　1686　鍼灸要法指南　岩田利斎_ページ_2.jpg</t>
  </si>
  <si>
    <t>にん　姙娠　附　臨産　1694　鍼灸そかい集　高津敬節.jpg</t>
  </si>
  <si>
    <t>ねつ　小児熱気　1607　扁鵲新流鍼書　越齋寿閑.jpg</t>
  </si>
  <si>
    <t>ねつ　熱　1686　鍼灸要法指南　岩田利斎.jpg</t>
  </si>
  <si>
    <t>ねつ　熱入血室　1537　鍼灸聚英　明・高武_ページ_1.jpg</t>
  </si>
  <si>
    <t>ねつ　熱入血室　1537　鍼灸聚英　明・高武_ページ_2.jpg</t>
  </si>
  <si>
    <t>ねつ　熱労上気喘満，腰背強痛　1315　鍼経摘英集　元・杜思敬「済生抜粋方」.jpg</t>
  </si>
  <si>
    <t>ねつ　熱狂走　0300　●足陽明脈病発熱狂走　第二　鍼灸甲乙経　皇甫謐_ページ_1.jpg</t>
  </si>
  <si>
    <t>ねつ　熱狂走　0300　●足陽明脈病発熱狂走　第二　鍼灸甲乙経　皇甫謐_ページ_2.jpg</t>
  </si>
  <si>
    <t>ねつ　熱病　0650　千金方　孫思ばく_ページ_1.jpg</t>
  </si>
  <si>
    <t>ねつ　熱病　0650　千金方　孫思ばく_ページ_2.jpg</t>
  </si>
  <si>
    <t>ねつ　熱病　0650　千金方　孫思ばく_ページ_3.jpg</t>
  </si>
  <si>
    <t>ねつ　熱病　0650　千金方　孫思ばく_ページ_4.jpg</t>
  </si>
  <si>
    <t>ねつ　熱病　1574　兪穴参伍的法　秦宗巴_ページ_1.jpg</t>
  </si>
  <si>
    <t>ねつ　熱病　1574　兪穴参伍的法　秦宗巴_ページ_2.jpg</t>
  </si>
  <si>
    <t>ねつ　熱病　1669　鍼灸枢要　山本玄通_ページ_01.jpg</t>
  </si>
  <si>
    <t>ねつ　熱病　1669　鍼灸枢要　山本玄通_ページ_02.jpg</t>
  </si>
  <si>
    <t>ねつ　熱病　1669　鍼灸枢要　山本玄通_ページ_03.jpg</t>
  </si>
  <si>
    <t>ねつ　熱病　1669　鍼灸枢要　山本玄通_ページ_04.jpg</t>
  </si>
  <si>
    <t>ねつ　熱病　1669　鍼灸枢要　山本玄通_ページ_05.jpg</t>
  </si>
  <si>
    <t>ねつ　熱病　1669　鍼灸枢要　山本玄通_ページ_06.jpg</t>
  </si>
  <si>
    <t>ねつ　熱病　1669　鍼灸枢要　山本玄通_ページ_07.jpg</t>
  </si>
  <si>
    <t>ねつ　熱病　1669　鍼灸枢要　山本玄通_ページ_08.jpg</t>
  </si>
  <si>
    <t>ねつ　熱病　1669　鍼灸枢要　山本玄通_ページ_09.jpg</t>
  </si>
  <si>
    <t>ねつ　熱病　1669　鍼灸枢要　山本玄通_ページ_10.jpg</t>
  </si>
  <si>
    <t>ねつ　熱病　1669　鍼灸枢要　山本玄通_ページ_11.jpg</t>
  </si>
  <si>
    <t>ねつ　熱痰　1694　選鍼三要集　杉山和一.jpg</t>
  </si>
  <si>
    <t>ねつ　熱風　1299　続添要穴集　惟宗時俊.jpg</t>
  </si>
  <si>
    <t>ねつ　諸熱　1680　鍼灸抜萃　著者未詳.jpg</t>
  </si>
  <si>
    <t>ねつ　諸熱　1693　鍼灸要歌集　安井昌玄_ページ_1.jpg</t>
  </si>
  <si>
    <t>ねつ　諸熱　1693　鍼灸要歌集　安井昌玄_ページ_2.jpg</t>
  </si>
  <si>
    <t>ねつ　諸熱　1693　鍼灸要歌集　安井昌玄_ページ_3.jpg</t>
  </si>
  <si>
    <t>ねつ　諸熱　1696　広益鍼灸抜萃　著者未詳_ページ_1.jpg</t>
  </si>
  <si>
    <t>ねつ　諸熱　1696　広益鍼灸抜萃　著者未詳_ページ_2.jpg</t>
  </si>
  <si>
    <t>ねつ　諸熱　1696　広益鍼灸抜萃　著者未詳_ページ_3.jpg</t>
  </si>
  <si>
    <t>ねつ　諸熱　1718　鍼灸重宝記　本郷正豊.jpg</t>
  </si>
  <si>
    <t>ねつ　諸熱　1718　鍼灸重宝記　本郷正豊_ページ_1.jpg</t>
  </si>
  <si>
    <t>ねつ　諸熱　1718　鍼灸重宝記　本郷正豊_ページ_2.jpg</t>
  </si>
  <si>
    <t>ねつ　諸熱　1773　鍼灸手引草　大簡室主人.jpg</t>
  </si>
  <si>
    <t>ねつ　諸熱醒針穴　1613　古今集鍼法　長生庵了味か.jpg</t>
  </si>
  <si>
    <t>ねつ　諸熱（小児）　1669　鍼灸枢要　山本玄通_ページ_1.jpg</t>
  </si>
  <si>
    <t>ねつ　諸熱（小児）　1669　鍼灸枢要　山本玄通_ページ_2.jpg</t>
  </si>
  <si>
    <t>のう　脳痛　1794　杉山流鍼術　島浦和田一.jpg</t>
  </si>
  <si>
    <t>のう　脳痛（脳風）　1220　鍼灸資生経　王執中_ページ_1.jpg</t>
  </si>
  <si>
    <t>のう　脳痛（脳風）　1220　鍼灸資生経　王執中_ページ_2.jpg</t>
  </si>
  <si>
    <t>は　歯をかみ言事不逐治穴　1613　古今集鍼法　長生庵了味か_ページ_01.jpg</t>
  </si>
  <si>
    <t>は　破傷風及風犬咬傷　1807　続名家灸選　平井庸信.jpg</t>
  </si>
  <si>
    <t>はい　肺の積　1607　扁鵲新流鍼書　越齋寿閑_ページ_1.jpg</t>
  </si>
  <si>
    <t>はい　肺の積　1607　扁鵲新流鍼書　越齋寿閑_ページ_2.jpg</t>
  </si>
  <si>
    <t>はい　肺気（肺風）　1220　鍼灸資生経　王執中.jpg</t>
  </si>
  <si>
    <t>はい　肺病又癆咳　成書年未詳　経穴図解　著者未詳_ページ_1.jpg</t>
  </si>
  <si>
    <t>はい　肺病又癆咳　成書年未詳　経穴図解　著者未詳_ページ_2.jpg</t>
  </si>
  <si>
    <t>はい　肺癰　1800　岡田流鍼術書　岡田見龍_ページ_1.jpg</t>
  </si>
  <si>
    <t>はい　肺癰　1800　岡田流鍼術書　岡田見龍_ページ_2.jpg</t>
  </si>
  <si>
    <t>はい　肺癰　成書年未詳　灸穴集　著者未詳.jpg</t>
  </si>
  <si>
    <t>はい　肺癰　肺痿　1686　鍼灸要法指南　岩田利斎_ページ_1.jpg</t>
  </si>
  <si>
    <t>はい　肺癰　肺痿　1686　鍼灸要法指南　岩田利斎_ページ_2.jpg</t>
  </si>
  <si>
    <t>はい　肺積名息奔、在右脇下　1694　選鍼三要集　杉山和一.jpg</t>
  </si>
  <si>
    <t>はい　背痛　1220　鍼灸資生経　王執中.jpg</t>
  </si>
  <si>
    <t>はい　背痛　1686　鍼灸要法指南　岩田利斎.jpg</t>
  </si>
  <si>
    <t>はい　背痛　1912年（大正01）　鍼灸手引草　久木田七郎.jpg</t>
  </si>
  <si>
    <t>はい　背痛　せのいたみ　1780　鍼灸極秘伝　木村太沖.jpg</t>
  </si>
  <si>
    <t>はい　背瘡　1224　医説　宋・張杲_ページ_1.jpg</t>
  </si>
  <si>
    <t>はい　背瘡　1224　医説　宋・張杲_ページ_2.jpg</t>
  </si>
  <si>
    <t>はい　背脊（はいせき）痛　せほねのいたむ病　脊髄炎　1887（明治20）　鍼灸備要　青山道醇.jpg</t>
  </si>
  <si>
    <t>はく　白濁　1624　類経図翼　明・張介賓.jpg</t>
  </si>
  <si>
    <t>はく　白癜白駮　1299　続添要穴集　惟宗時俊.jpg</t>
  </si>
  <si>
    <t>はつ　発熱-02　1537　鍼灸聚英　明・高武.jpg</t>
  </si>
  <si>
    <t>はつ　発熱　1537　鍼灸聚英　明・高武_ページ_1.jpg</t>
  </si>
  <si>
    <t>はつ　発熱　1537　鍼灸聚英　明・高武_ページ_2.jpg</t>
  </si>
  <si>
    <t>はつ　発背　1220　鍼灸資生経　王執中_ページ_1.jpg</t>
  </si>
  <si>
    <t>はつ　発背　1220　鍼灸資生経　王執中_ページ_2.jpg</t>
  </si>
  <si>
    <t>はつ　発背　1220　鍼灸資生経　王執中_ページ_3.jpg</t>
  </si>
  <si>
    <t>はん　半身不随偏風　1299　続添要穴集　惟宗時俊_ページ_1.jpg</t>
  </si>
  <si>
    <t>はん　半身不随偏風　1299　続添要穴集　惟宗時俊_ページ_2.jpg</t>
  </si>
  <si>
    <t>はん　反胃　1220　鍼灸資生経　王執中.jpg</t>
  </si>
  <si>
    <t>はん　反胃　1785　鍼書　本城義軒.jpg</t>
  </si>
  <si>
    <t>はん　反胃　1794　杉山流鍼術　島浦和田一.jpg</t>
  </si>
  <si>
    <t>はん　反胃　膈噎　呑酸　1807　続名家灸選　平井庸信.jpg</t>
  </si>
  <si>
    <t>はん　反胃の病　1607　扁鵲新流鍼書　越齋寿閑_ページ_1.jpg</t>
  </si>
  <si>
    <t>はん　反胃の病　1607　扁鵲新流鍼書　越齋寿閑_ページ_2.jpg</t>
  </si>
  <si>
    <t>はん　反胃吐食（胃拡張）　1912年（大正01）　鍼灸手引草　久木田七郎.jpg</t>
  </si>
  <si>
    <t>はん　嘔吐　膈噎　反胃　呑酸　1792　鍼法要集　源長起_ページ_1.jpg</t>
  </si>
  <si>
    <t>はん　嘔吐　膈噎　反胃　呑酸　1792　鍼法要集　源長起_ページ_2.jpg</t>
  </si>
  <si>
    <t>はん　嘔吐　膈噎　反胃　呑酸　1792　鍼法要集　源長起_ページ_3.jpg</t>
  </si>
  <si>
    <t>はん　煩躁　1537　鍼灸聚英　明・高武_ページ_1.jpg</t>
  </si>
  <si>
    <t>はん　煩躁　1537　鍼灸聚英　明・高武_ページ_2.jpg</t>
  </si>
  <si>
    <t>はん　煩躁　1669　鍼灸枢要　山本玄通_ページ_1.jpg</t>
  </si>
  <si>
    <t>はん　煩躁　1669　鍼灸枢要　山本玄通_ページ_2.jpg</t>
  </si>
  <si>
    <t>ば　馬刀れき　成書年未詳　灸穴集　著者未詳.jpg</t>
  </si>
  <si>
    <t>ば　馬脾風（ばひふう）　ばひふう　格魯布（コロウブ）（＝コロフ）　→クループ性肺炎　1887（明治20）　鍼灸備要　青山道醇.jpg</t>
  </si>
  <si>
    <t>ひ　痞満　1669　鍼灸枢要　山本玄通_ページ_1.jpg</t>
  </si>
  <si>
    <t>ひ　痞満　1669　鍼灸枢要　山本玄通_ページ_2.jpg</t>
  </si>
  <si>
    <t>ひ　痞満　1669　鍼灸枢要　山本玄通_ページ_3.jpg</t>
  </si>
  <si>
    <t>ひ　痞満　1767　鍼灸則　菅沼周桂.jpg</t>
  </si>
  <si>
    <t>ひ　痞満　1800　鍼灸備要　小坂元祐.jpg</t>
  </si>
  <si>
    <t>ひ　痞満　つかえ　1686　鍼灸要法指南　岩田利斎.jpg</t>
  </si>
  <si>
    <t>ひ　痺　0300　●陰受病発　第一上　鍼灸甲乙経　皇甫謐_ページ_1.jpg</t>
  </si>
  <si>
    <t>ひ　痺　0300　●陰受病発　第一上　鍼灸甲乙経　皇甫謐_ページ_2.jpg</t>
  </si>
  <si>
    <t>ひ　痺　0300　●陰受病発　第一上　鍼灸甲乙経　皇甫謐_ページ_3.jpg</t>
  </si>
  <si>
    <t>ひ　痺　0300　●陰受病発　第一下　鍼灸甲乙経　皇甫謐_ページ_1.jpg</t>
  </si>
  <si>
    <t>ひ　痺　0300　●陰受病発　第一下　鍼灸甲乙経　皇甫謐_ページ_2.jpg</t>
  </si>
  <si>
    <t>ひ　痺　0300　●陰受病発　第一下　鍼灸甲乙経　皇甫謐_ページ_3.jpg</t>
  </si>
  <si>
    <t>ひ　痺　0300　●陰受病発　第一下　鍼灸甲乙経　皇甫謐_ページ_4.jpg</t>
  </si>
  <si>
    <t>ひ　痺　1680　鍼灸抜萃　著者未詳.jpg</t>
  </si>
  <si>
    <t>ひ　痺　1693　鍼灸要歌集　安井昌玄_ページ_1.jpg</t>
  </si>
  <si>
    <t>ひ　痺　1693　鍼灸要歌集　安井昌玄_ページ_2.jpg</t>
  </si>
  <si>
    <t>ひ　痺　1696　広益鍼灸抜萃　著者未詳_ページ_1.jpg</t>
  </si>
  <si>
    <t>ひ　痺　1696　広益鍼灸抜萃　著者未詳_ページ_2.jpg</t>
  </si>
  <si>
    <t>ひ　痺　1800　鍼灸備要　小坂元祐_ページ_1.jpg</t>
  </si>
  <si>
    <t>ひ　痺　1800　鍼灸備要　小坂元祐_ページ_2.jpg</t>
  </si>
  <si>
    <t>ひ　痺　1800　鍼灸備要　小坂元祐_ページ_3.jpg</t>
  </si>
  <si>
    <t>ひ　痺厥部　1425　神応経　明・陳会撰・劉瑾重校.jpg</t>
  </si>
  <si>
    <t>ひ　痺疳（ひかん）　おとみやみ　腸及腸間膜腺瘰癧及結核　1887（明治20）　鍼灸備要　青山道醇.jpg</t>
  </si>
  <si>
    <t>ひ　痺症　附　痛風　1694　鍼灸そかい集　高津敬節_ページ_1.jpg</t>
  </si>
  <si>
    <t>ひ　痺症　附　痛風　1694　鍼灸そかい集　高津敬節_ページ_2.jpg</t>
  </si>
  <si>
    <t>ひ　痺痛　1718　鍼灸重宝記　本郷正豊_ページ_1.jpg</t>
  </si>
  <si>
    <t>ひ　痺痛　1718　鍼灸重宝記　本郷正豊_ページ_2.jpg</t>
  </si>
  <si>
    <t>ひ　痺証　1669　鍼灸枢要　山本玄通_ページ_01.jpg</t>
  </si>
  <si>
    <t>ひ　痺証　1669　鍼灸枢要　山本玄通_ページ_02.jpg</t>
  </si>
  <si>
    <t>ひ　痺証　1669　鍼灸枢要　山本玄通_ページ_03.jpg</t>
  </si>
  <si>
    <t>ひ　痺証　1669　鍼灸枢要　山本玄通_ページ_04.jpg</t>
  </si>
  <si>
    <t>ひ　痺証　1669　鍼灸枢要　山本玄通_ページ_05.jpg</t>
  </si>
  <si>
    <t>ひ　痺証　1669　鍼灸枢要　山本玄通_ページ_06.jpg</t>
  </si>
  <si>
    <t>ひ　痺証　1669　鍼灸枢要　山本玄通_ページ_07.jpg</t>
  </si>
  <si>
    <t>ひ　痺証　1669　鍼灸枢要　山本玄通_ページ_08.jpg</t>
  </si>
  <si>
    <t>ひ　痺証　1669　鍼灸枢要　山本玄通_ページ_09.jpg</t>
  </si>
  <si>
    <t>ひ　痺証　1669　鍼灸枢要　山本玄通_ページ_10.jpg</t>
  </si>
  <si>
    <t>ひ　痺証痿証　1792　鍼法要集　源長起_ページ_1.jpg</t>
  </si>
  <si>
    <t>ひ　痺証痿証　1792　鍼法要集　源長起_ページ_2.jpg</t>
  </si>
  <si>
    <t>ひ　痺証痿証　1792　鍼法要集　源長起_ページ_3.jpg</t>
  </si>
  <si>
    <t>ひ　皮膚　1669　鍼灸枢要　山本玄通.jpg</t>
  </si>
  <si>
    <t>ひ　秘結　1563　鍼灸集要　曲直瀬道三.jpg</t>
  </si>
  <si>
    <t>ひ　秘結　1680　鍼灸抜萃　著者未詳.jpg</t>
  </si>
  <si>
    <t>ひ　秘結　1693　鍼灸要歌集　安井昌玄_ページ_1.jpg</t>
  </si>
  <si>
    <t>ひ　秘結　1693　鍼灸要歌集　安井昌玄_ページ_2.jpg</t>
  </si>
  <si>
    <t>ひ　秘結　1693　鍼灸要歌集　安井昌玄_ページ_3.jpg</t>
  </si>
  <si>
    <t>ひ　秘結　1694　鍼灸そかい集　高津敬節.jpg</t>
  </si>
  <si>
    <t>ひ　秘結　1696　広益鍼灸抜萃　著者未詳_ページ_1.jpg</t>
  </si>
  <si>
    <t>ひ　秘結　1696　広益鍼灸抜萃　著者未詳_ページ_2.jpg</t>
  </si>
  <si>
    <t>ひ　秘結　1698　鍼灸抜粋大成　岡本一抱.jpg</t>
  </si>
  <si>
    <t>ひ　秘結　1773　鍼灸手引草　大簡室主人_ページ_1.jpg</t>
  </si>
  <si>
    <t>ひ　秘結　1773　鍼灸手引草　大簡室主人_ページ_2.jpg</t>
  </si>
  <si>
    <t>ひ　秘結　1785　鍼書　本城義軒.jpg</t>
  </si>
  <si>
    <t>ひ　秘結　1792　鍼法要集　源長起_ページ_1.jpg</t>
  </si>
  <si>
    <t>ひ　秘結　1792　鍼法要集　源長起_ページ_2.jpg</t>
  </si>
  <si>
    <t>ひ　秘結　1792　鍼法要集　源長起_ページ_3.jpg</t>
  </si>
  <si>
    <t>ひ　秘結　だいべんつうぜず　1718　鍼灸重宝記　本郷正豊.jpg</t>
  </si>
  <si>
    <t>ひ　秘結　大便の結する病なり　1694　療治之大概集　杉山和一.jpg</t>
  </si>
  <si>
    <t>ひ　脾の積　1607　扁鵲新流鍼書　越齋寿閑_ページ_1.jpg</t>
  </si>
  <si>
    <t>ひ　脾の積　1607　扁鵲新流鍼書　越齋寿閑_ページ_2.jpg</t>
  </si>
  <si>
    <t>ひ　脾疼（余見心腹痛）　1220　鍼灸資生経　王執中_ページ_1.jpg</t>
  </si>
  <si>
    <t>ひ　脾疼（余見心腹痛）　1220　鍼灸資生経　王執中_ページ_2.jpg</t>
  </si>
  <si>
    <t>ひ　脾疾翻胃　1329　扁鵲神応鍼灸玉龍経　元・王国瑞.jpg</t>
  </si>
  <si>
    <t>ひ　脾積名痞気、横在臍上二寸　1694　選鍼三要集　杉山和一.jpg</t>
  </si>
  <si>
    <t>ひ　脾胃虚弱　1329　扁鵲神応鍼灸玉龍経　元・王国瑞_ページ_1.jpg</t>
  </si>
  <si>
    <t>ひ　脾胃虚弱　1329　扁鵲神応鍼灸玉龍経　元・王国瑞_ページ_2.jpg</t>
  </si>
  <si>
    <t>ひ　脾胃虚弱，心腹脹満，不思飲食，腸鳴腹痛，食不可　1315　鍼経摘英集　元・杜思敬「済生抜粋方」_ページ_1.jpg</t>
  </si>
  <si>
    <t>ひ　脾胃虚弱，心腹脹満，不思飲食，腸鳴腹痛，食不可　1315　鍼経摘英集　元・杜思敬「済生抜粋方」_ページ_2.jpg</t>
  </si>
  <si>
    <t>ひ　臂痛　1220　鍼灸資生経　王執中_ページ_1.jpg</t>
  </si>
  <si>
    <t>ひ　臂痛　1220　鍼灸資生経　王執中_ページ_2.jpg</t>
  </si>
  <si>
    <t>ひ　臂痛　1329　扁鵲神応鍼灸玉龍経　元・王国瑞_ページ_1.jpg</t>
  </si>
  <si>
    <t>ひ　臂痛　1329　扁鵲神応鍼灸玉龍経　元・王国瑞_ページ_2.jpg</t>
  </si>
  <si>
    <t>ひ　臂痛　1767　鍼灸則　菅沼周桂.jpg</t>
  </si>
  <si>
    <t>ひ　臂痛　1780　ひじのいたみ　鍼灸極秘伝　木村太沖.jpg</t>
  </si>
  <si>
    <t>ひ　臂痛　1813　名家灸選三編　平井庸信_ページ_1.jpg</t>
  </si>
  <si>
    <t>ひ　臂痛　1813　名家灸選三編　平井庸信_ページ_2.jpg</t>
  </si>
  <si>
    <t>ひ　臂痛不挙　1624　類経図翼　明・張介賓.jpg</t>
  </si>
  <si>
    <t>ひ　臂痛（ひつう）　ひじのいたむ病　臂節（ひせつ）神経痛　1887（明治20）　鍼灸備要　青山道醇.jpg</t>
  </si>
  <si>
    <t>ひ　臂細筋寒骨痛　1329　扁鵲神応鍼灸玉龍経　元・王国瑞.jpg</t>
  </si>
  <si>
    <t>ひ　臂肘病　0650　千金方　孫思ばく_ページ_1.jpg</t>
  </si>
  <si>
    <t>ひ　臂肘病　0650　千金方　孫思ばく_ページ_2.jpg</t>
  </si>
  <si>
    <t>ひ　臂腕痛　1329　扁鵲神応鍼灸玉龍経　元・王国瑞_ページ_1.jpg</t>
  </si>
  <si>
    <t>ひ　臂腕痛　1329　扁鵲神応鍼灸玉龍経　元・王国瑞_ページ_2.jpg</t>
  </si>
  <si>
    <t>ひ　臂膊疼痛不可忍　1315　鍼経摘英集　元・杜思敬「済生抜粋方」.jpg</t>
  </si>
  <si>
    <t>ひ　飛尺遁注　0650　千金方　孫思ばく.jpg</t>
  </si>
  <si>
    <t>ひふ　皮膚中毒風　1226　備急灸法　宋・聞人耆年_ページ_1.jpg</t>
  </si>
  <si>
    <t>ひふ　皮膚中毒風　1226　備急灸法　宋・聞人耆年_ページ_2.jpg</t>
  </si>
  <si>
    <t>ひゃく　百日咳　くづめき、又、けいけいしやぶき　痙攣がい　1887（明治20）　鍼灸備要　青山道醇.jpg</t>
  </si>
  <si>
    <t>ひょう　ひょう疽　成書年未詳　灸穴集　著者未詳.jpg</t>
  </si>
  <si>
    <t>ひょう　ひょう疽　頭面瘡　腸癰　1807　続名家灸選　平井庸信_ページ_1.jpg</t>
  </si>
  <si>
    <t>ひょう　ひょう疽　頭面瘡　腸癰　1807　続名家灸選　平井庸信_ページ_2.jpg</t>
  </si>
  <si>
    <t>ひょう　ひょう疽　頭面瘡　腸癰　1807　続名家灸選　平井庸信_ページ_3.jpg</t>
  </si>
  <si>
    <t>び　両眉角痛風熱并疾　1794　杉山流鍼術　島浦和田一.jpg</t>
  </si>
  <si>
    <t>び　眉攅内疼痛不可忍者　1315　鍼経摘英集　元・杜思敬「済生抜粋方」.jpg</t>
  </si>
  <si>
    <t>び　眉目間痛　1329　扁鵲神応鍼灸玉龍経　元・王国瑞_ページ_1.jpg</t>
  </si>
  <si>
    <t>び　眉目間痛　1329　扁鵲神応鍼灸玉龍経　元・王国瑞_ページ_2.jpg</t>
  </si>
  <si>
    <t>び　鼻　0650　千金方　孫思ばく_ページ_1.jpg</t>
  </si>
  <si>
    <t>び　鼻　0650　千金方　孫思ばく_ページ_2.jpg</t>
  </si>
  <si>
    <t>び　鼻　1563　鍼灸集要　曲直瀬道三.jpg</t>
  </si>
  <si>
    <t>び　鼻　1574　兪穴参伍的法　秦宗巴_ページ_1.jpg</t>
  </si>
  <si>
    <t>び　鼻　1574　兪穴参伍的法　秦宗巴_ページ_2.jpg</t>
  </si>
  <si>
    <t>び　鼻　1669　鍼灸枢要　山本玄通_ページ_1.jpg</t>
  </si>
  <si>
    <t>び　鼻　1669　鍼灸枢要　山本玄通_ページ_2.jpg</t>
  </si>
  <si>
    <t>び　鼻　1669　鍼灸枢要　山本玄通_ページ_3.jpg</t>
  </si>
  <si>
    <t>び　鼻　1669　鍼灸枢要　山本玄通_ページ_4.jpg</t>
  </si>
  <si>
    <t>び　鼻　1669　鍼灸枢要　山本玄通_ページ_5.jpg</t>
  </si>
  <si>
    <t>び　鼻　1679　鍼法奇貨　渡辺東伯_ページ_1.jpg</t>
  </si>
  <si>
    <t>び　鼻　1679　鍼法奇貨　渡辺東伯_ページ_2.jpg</t>
  </si>
  <si>
    <t>び　鼻　1679　鍼法奇貨　渡辺東伯_ページ_3.jpg</t>
  </si>
  <si>
    <t>び　鼻　1680　鍼灸抜萃　著者未詳.jpg</t>
  </si>
  <si>
    <t>び　鼻　1686　鍼灸要法指南　岩田利斎_ページ_1.jpg</t>
  </si>
  <si>
    <t>び　鼻　1686　鍼灸要法指南　岩田利斎_ページ_2.jpg</t>
  </si>
  <si>
    <t>び　鼻　1693　鍼灸要歌集　安井昌玄_ページ_1.jpg</t>
  </si>
  <si>
    <t>び　鼻　1693　鍼灸要歌集　安井昌玄_ページ_2.jpg</t>
  </si>
  <si>
    <t>び　鼻　1694　鍼灸そかい集　高津敬節.jpg</t>
  </si>
  <si>
    <t>び　鼻　1696　広益鍼灸抜萃　著者未詳.jpg</t>
  </si>
  <si>
    <t>び　鼻　1698　鍼灸抜粋大成　岡本一抱_ページ_1.jpg</t>
  </si>
  <si>
    <t>び　鼻　1698　鍼灸抜粋大成　岡本一抱_ページ_2.jpg</t>
  </si>
  <si>
    <t>び　鼻　1718　鍼灸重宝記　本郷正豊.jpg</t>
  </si>
  <si>
    <t>び　鼻　1767　鍼灸則　菅沼周桂.jpg</t>
  </si>
  <si>
    <t>び　鼻　1773　鍼灸手引草　大簡室主人_ページ_1.jpg</t>
  </si>
  <si>
    <t>び　鼻　1773　鍼灸手引草　大簡室主人_ページ_2.jpg</t>
  </si>
  <si>
    <t>び　鼻　1792　鍼法要集　源長起_ページ_1.jpg</t>
  </si>
  <si>
    <t>び　鼻　1792　鍼法要集　源長起_ページ_2.jpg</t>
  </si>
  <si>
    <t>び　鼻　1792　鍼法要集　源長起_ページ_3.jpg</t>
  </si>
  <si>
    <t>び　鼻　1800　鍼灸備要　小坂元祐_ページ_1.jpg</t>
  </si>
  <si>
    <t>び　鼻　1800　鍼灸備要　小坂元祐_ページ_2.jpg</t>
  </si>
  <si>
    <t>び　鼻　1800　鍼灸備要　小坂元祐_ページ_3.jpg</t>
  </si>
  <si>
    <t>び　鼻　1807　続名家灸選　平井庸信_ページ_1.jpg</t>
  </si>
  <si>
    <t>び　鼻　1807　続名家灸選　平井庸信_ページ_2.jpg</t>
  </si>
  <si>
    <t>び　鼻　1813　名家灸選　浅井惟亨.jpg</t>
  </si>
  <si>
    <t>び　鼻　1813　名家灸選三編　平井庸信.jpg</t>
  </si>
  <si>
    <t>び　鼻　成書年未詳　灸穴集　著者未詳_ページ_1.jpg</t>
  </si>
  <si>
    <t>び　鼻　成書年未詳　灸穴集　著者未詳_ページ_2.jpg</t>
  </si>
  <si>
    <t>び　鼻口部　1425　神応経　明・陳会撰・劉瑾重校_ページ_1.jpg</t>
  </si>
  <si>
    <t>び　鼻口部　1425　神応経　明・陳会撰・劉瑾重校_ページ_2.jpg</t>
  </si>
  <si>
    <t>び　鼻口部　1425　神応経　明・陳会撰・劉瑾重校_ページ_3.jpg</t>
  </si>
  <si>
    <t>び　鼻塞不利又不聞香臭　1912年（大正01）　鍼灸手引草　久木田七郎.jpg</t>
  </si>
  <si>
    <t>び　鼻塞不利（不聞香臭）　1220　鍼灸資生経　王執中_ページ_1.jpg</t>
  </si>
  <si>
    <t>び　鼻塞不利（不聞香臭）　1220　鍼灸資生経　王執中_ページ_2.jpg</t>
  </si>
  <si>
    <t>び　鼻塞不聞香臭　1694　選鍼三要集　杉山和一.jpg</t>
  </si>
  <si>
    <t>び　鼻有息肉（生瘡）　1220　鍼灸資生経　王執中.jpg</t>
  </si>
  <si>
    <t>び　鼻涕出　1220　鍼灸資生経　王執中_ページ_1.jpg</t>
  </si>
  <si>
    <t>び　鼻涕出　1220　鍼灸資生経　王執中_ページ_2.jpg</t>
  </si>
  <si>
    <t>び　鼻涕流出　1912年（大正01）　鍼灸手引草　久木田七郎_ページ_1.jpg</t>
  </si>
  <si>
    <t>び　鼻涕流出　1912年（大正01）　鍼灸手引草　久木田七郎_ページ_2.jpg</t>
  </si>
  <si>
    <t>び　鼻淵　1329　扁鵲神応鍼灸玉龍経　元・王国瑞_ページ_1.jpg</t>
  </si>
  <si>
    <t>び　鼻淵　1329　扁鵲神応鍼灸玉龍経　元・王国瑞_ページ_2.jpg</t>
  </si>
  <si>
    <t>び　鼻淵　びえん　慢性鼻竅炎　1887（明治20）　鍼灸備要　青山道醇.jpg</t>
  </si>
  <si>
    <t>び　鼻疾　成書年未詳　経穴図解　著者未詳.jpg</t>
  </si>
  <si>
    <t>び　鼻痔（びぢ）　はなたけ　鼻粘膜贅肉（ぜいにく）　1887（明治20）　鍼灸備要　青山道醇.jpg</t>
  </si>
  <si>
    <t>び　鼻痛（余見鼻瘡）　1220　鍼灸資生経　王執中.jpg</t>
  </si>
  <si>
    <t>び　鼻衄　1220　鍼灸資生経　王執中_ページ_1.jpg</t>
  </si>
  <si>
    <t>び　鼻衄　1220　鍼灸資生経　王執中_ページ_2.jpg</t>
  </si>
  <si>
    <t>び　鼻衄　1224　医説　宋・張杲.jpg</t>
  </si>
  <si>
    <t>び　鼻衄　1226　備急灸法　宋・聞人耆年.jpg</t>
  </si>
  <si>
    <t>び　鼻衄不止　1315　鍼経摘英集　元・杜思敬「済生抜粋方」_ページ_1.jpg</t>
  </si>
  <si>
    <t>び　鼻衄不止　1315　鍼経摘英集　元・杜思敬「済生抜粋方」_ページ_2.jpg</t>
  </si>
  <si>
    <t>びゃく　白虎歴節風（びやくこれきせつふう）　ふしふしのはげしくいたむ病　急性関節僂麻質斯（リウマチス）　1887（明治20）　鍼灸備要　青山道醇.jpg</t>
  </si>
  <si>
    <t>びょう　猫鬼　1792　鍼法要集　源長起.jpg</t>
  </si>
  <si>
    <t>びょう　病後少気　1765　鍼法弁惑　藤井秀孟.jpg</t>
  </si>
  <si>
    <t>ふ　不仁　1537　鍼灸聚英　明・高武_ページ_1.jpg</t>
  </si>
  <si>
    <t>ふ　不仁　1537　鍼灸聚英　明・高武_ページ_2.jpg</t>
  </si>
  <si>
    <t>ふ　不仁　かわはだのしびれ　知覚減少　1887（明治20）　鍼灸備要　青山道醇_ページ_1.jpg</t>
  </si>
  <si>
    <t>ふ　不仁　かわはだのしびれ　知覚減少　1887（明治20）　鍼灸備要　青山道醇_ページ_2.jpg</t>
  </si>
  <si>
    <t>ふ　不呑乳　1686　鍼灸要法指南　岩田利斎.jpg</t>
  </si>
  <si>
    <t>ふ　不嗜食　1220　鍼灸資生経　王執中.jpg</t>
  </si>
  <si>
    <t>ふ　不嗜食　1669　鍼灸枢要　山本玄通_ページ_1.jpg</t>
  </si>
  <si>
    <t>ふ　不嗜食　1669　鍼灸枢要　山本玄通_ページ_2.jpg</t>
  </si>
  <si>
    <t>ふ　不妊娠　1669　鍼灸枢要　山本玄通_ページ_1.jpg</t>
  </si>
  <si>
    <t>ふ　不妊娠　1669　鍼灸枢要　山本玄通_ページ_2.jpg</t>
  </si>
  <si>
    <t>ふ　不妊娠　1800　鍼灸備要　小坂元祐_ページ_1.jpg</t>
  </si>
  <si>
    <t>ふ　不妊娠　1800　鍼灸備要　小坂元祐_ページ_2.jpg</t>
  </si>
  <si>
    <t>ふ　不得寐　1669　鍼灸枢要　山本玄通_ページ_1.jpg</t>
  </si>
  <si>
    <t>ふ　不得寐　1669　鍼灸枢要　山本玄通_ページ_2.jpg</t>
  </si>
  <si>
    <t>ふ　不得寐　1669　鍼灸枢要　山本玄通_ページ_3.jpg</t>
  </si>
  <si>
    <t>ふ　不成孕　1694　選鍼三要集　杉山和一.jpg</t>
  </si>
  <si>
    <t>ふ　不眠症　1912年（大正01）　鍼灸手引草　久木田七郎.jpg</t>
  </si>
  <si>
    <t>ふ　不聞香臭　1329　扁鵲神応鍼灸玉龍経　元・王国瑞.jpg</t>
  </si>
  <si>
    <t>ふ　不能食　1220　鍼灸資生経　王執中_ページ_1.jpg</t>
  </si>
  <si>
    <t>ふ　不能食　1220　鍼灸資生経　王執中_ページ_2.jpg</t>
  </si>
  <si>
    <t>ふ　不能食　1574　兪穴参伍的法　秦宗巴.jpg</t>
  </si>
  <si>
    <t>ふ　不能食病　0650　千金方　孫思ばく.jpg</t>
  </si>
  <si>
    <t>ふ　不臥　1220　鍼灸資生経　王執中.jpg</t>
  </si>
  <si>
    <t>ふ　不臥　1686　鍼灸要法指南　岩田利斎.jpg</t>
  </si>
  <si>
    <t>ふ　不食　1607　扁鵲新流鍼書　越齋寿閑.jpg</t>
  </si>
  <si>
    <t>ふ　不食　宿食（しょくじき）　1686　鍼灸要法指南　岩田利斎.jpg</t>
  </si>
  <si>
    <t>ふ　不食之針穴　1613　古今集鍼法　長生庵了味か.jpg</t>
  </si>
  <si>
    <t>ふ　婦人　1425　神応経　明・陳会撰・劉瑾重校_ページ_1.jpg</t>
  </si>
  <si>
    <t>ふ　婦人　1425　神応経　明・陳会撰・劉瑾重校_ページ_2.jpg</t>
  </si>
  <si>
    <t>ふ　婦人　1698　鍼灸抜粋大成　岡本一抱_ページ_1.jpg</t>
  </si>
  <si>
    <t>ふ　婦人　1698　鍼灸抜粋大成　岡本一抱_ページ_2.jpg</t>
  </si>
  <si>
    <t>ふ　婦人　1785　鍼書　本城義軒_ページ_1.jpg</t>
  </si>
  <si>
    <t>ふ　婦人　1785　鍼書　本城義軒_ページ_2.jpg</t>
  </si>
  <si>
    <t>ふ　婦人　1800　鍼灸備要　小坂元祐.jpg</t>
  </si>
  <si>
    <t>ふ　婦人　●婦人雑病　第十　0300　鍼灸甲乙経　皇甫謐_ページ_1.jpg</t>
  </si>
  <si>
    <t>ふ　婦人　●婦人雑病　第十　0300　鍼灸甲乙経　皇甫謐_ページ_2.jpg</t>
  </si>
  <si>
    <t>ふ　婦人　●婦人雑病　第十　0300　鍼灸甲乙経　皇甫謐_ページ_3.jpg</t>
  </si>
  <si>
    <t>ふ　婦人　●婦人雑病　第十　0300　鍼灸甲乙経　皇甫謐_ページ_4.jpg</t>
  </si>
  <si>
    <t>ふ　婦人　玉機微義針灸証治　1537　鍼灸聚英　明・高武_ページ_1.jpg</t>
  </si>
  <si>
    <t>ふ　婦人　玉機微義針灸証治　1537　鍼灸聚英　明・高武_ページ_2.jpg</t>
  </si>
  <si>
    <t>ふ　婦人　玉機微義針灸証治　1537　鍼灸聚英　明・高武_ページ_3.jpg</t>
  </si>
  <si>
    <t>ふ　婦人、腰痛甚しく小便渋る者　女こしいたみて小べんしぶる人　1780　鍼灸極秘伝　木村太沖.jpg</t>
  </si>
  <si>
    <t>ふ　婦人の科　1718　鍼灸重宝記　本郷正豊_ページ_1.jpg</t>
  </si>
  <si>
    <t>ふ　婦人の科　1718　鍼灸重宝記　本郷正豊_ページ_2.jpg</t>
  </si>
  <si>
    <t>ふ　婦人の血塊　1607　扁鵲新流鍼書　越齋寿閑.jpg</t>
  </si>
  <si>
    <t>ふ　婦人之部　1773　鍼灸手引草　大簡室主人_ページ_1.jpg</t>
  </si>
  <si>
    <t>ふ　婦人之部　1773　鍼灸手引草　大簡室主人_ページ_2.jpg</t>
  </si>
  <si>
    <t>ふ　婦人乳汁少者　1800　岡田流鍼術書　岡田見龍_ページ_1.jpg</t>
  </si>
  <si>
    <t>ふ　婦人乳汁少者　1800　岡田流鍼術書　岡田見龍_ページ_2.jpg</t>
  </si>
  <si>
    <t>ふ　婦人堕胎後手足逆冷　1315　鍼経摘英集　元・杜思敬「済生抜粋方」.jpg</t>
  </si>
  <si>
    <t>ふ　婦人月水不調不懐妊者　1594　経脈方寸秘書　曲直瀬道三_ページ_1.jpg</t>
  </si>
  <si>
    <t>ふ　婦人月水不調不懐妊者　1594　経脈方寸秘書　曲直瀬道三_ページ_2.jpg</t>
  </si>
  <si>
    <t>ふ　婦人月経不順或お血崩漏長血白血　1800　岡田流鍼術書　岡田見龍_ページ_1.jpg</t>
  </si>
  <si>
    <t>ふ　婦人月経不順或お血崩漏長血白血　1800　岡田流鍼術書　岡田見龍_ページ_2.jpg</t>
  </si>
  <si>
    <t>ふ　婦人淋疾　しやうかち　婦人尿道加多児（カタル）　1887（明治20）　鍼灸備要　青山道醇.jpg</t>
  </si>
  <si>
    <t>ふ　婦人無子　1220　鍼灸資生経　王執中_ページ_1.jpg</t>
  </si>
  <si>
    <t>ふ　婦人無子　1220　鍼灸資生経　王執中_ページ_2.jpg</t>
  </si>
  <si>
    <t>ふ　婦人産児死乳仍不止者　1800　岡田流鍼術書　岡田見龍_ページ_1.jpg</t>
  </si>
  <si>
    <t>ふ　婦人産児死乳仍不止者　1800　岡田流鍼術書　岡田見龍_ページ_2.jpg</t>
  </si>
  <si>
    <t>ふ　婦人産前後諸症　1765　鍼法弁惑　藤井秀孟_ページ_1.jpg</t>
  </si>
  <si>
    <t>ふ　婦人産前後諸症　1765　鍼法弁惑　藤井秀孟_ページ_2.jpg</t>
  </si>
  <si>
    <t>ふ　婦人疾病　1669　鍼灸枢要　山本玄通.jpg</t>
  </si>
  <si>
    <t>ふ　婦人病　0650　千金方　孫思ばく_ページ_1.jpg</t>
  </si>
  <si>
    <t>ふ　婦人病　0650　千金方　孫思ばく_ページ_2.jpg</t>
  </si>
  <si>
    <t>ふ　婦人病　0650　千金方　孫思ばく_ページ_3.jpg</t>
  </si>
  <si>
    <t>ふ　婦人病　0650　千金方　孫思ばく_ページ_4.jpg</t>
  </si>
  <si>
    <t>ふ　婦人病　1624　類経図翼　明・張介賓_ページ_1.jpg</t>
  </si>
  <si>
    <t>ふ　婦人病　1624　類経図翼　明・張介賓_ページ_2.jpg</t>
  </si>
  <si>
    <t>ふ　婦人病　1624　類経図翼　明・張介賓_ページ_3.jpg</t>
  </si>
  <si>
    <t>ふ　婦人病　1624　類経図翼　明・張介賓_ページ_4.jpg</t>
  </si>
  <si>
    <t>ふ　婦人病　1624　類経図翼　明・張介賓_ページ_5.jpg</t>
  </si>
  <si>
    <t>ふ　婦人病　1624　類経図翼　明・張介賓_ページ_6.jpg</t>
  </si>
  <si>
    <t>ふ　婦人病　1761　挨穴捷径　杉原敦_ページ_1.jpg</t>
  </si>
  <si>
    <t>ふ　婦人病　1761　挨穴捷径　杉原敦_ページ_2.jpg</t>
  </si>
  <si>
    <t>ふ　婦人病　1761　挨穴捷径　杉原敦_ページ_3.jpg</t>
  </si>
  <si>
    <t>ふ　婦人病、血結月事不調　1694　選鍼三要集　杉山和一.jpg</t>
  </si>
  <si>
    <t>ふ　婦人科　1767　鍼灸則　菅沼周桂_ページ_1.jpg</t>
  </si>
  <si>
    <t>ふ　婦人科　1767　鍼灸則　菅沼周桂_ページ_2.jpg</t>
  </si>
  <si>
    <t>ふ　婦人科　1767　鍼灸則　菅沼周桂_ページ_3.jpg</t>
  </si>
  <si>
    <t>ふ　婦人経脈不通　1315　鍼経摘英集　元・杜思敬「済生抜粋方」_ページ_1.jpg</t>
  </si>
  <si>
    <t>ふ　婦人経脈不通　1315　鍼経摘英集　元・杜思敬「済生抜粋方」_ページ_2.jpg</t>
  </si>
  <si>
    <t>ふ　婦人経血過多不止并崩中者　1315　鍼経摘英集　元・杜思敬「済生抜粋方」.jpg</t>
  </si>
  <si>
    <t>ふ　婦人血塊　或　男子疝気　1758　灸ぜつ塩土伝　三宅意安_ページ_1.jpg</t>
  </si>
  <si>
    <t>ふ　婦人血塊　或　男子疝気　1758　灸ぜつ塩土伝　三宅意安_ページ_2.jpg</t>
  </si>
  <si>
    <t>ふ　婦人血塊　或　男子疝気　1758　灸ぜつ塩土伝　三宅意安_ページ_3.jpg</t>
  </si>
  <si>
    <t>ふ　婦人血塊　月水不調　1758　灸ぜつ塩土伝　三宅意安_ページ_1.jpg</t>
  </si>
  <si>
    <t>ふ　婦人血塊　月水不調　1758　灸ぜつ塩土伝　三宅意安_ページ_2.jpg</t>
  </si>
  <si>
    <t>ふ　婦人血塊　月水不調　1758　灸ぜつ塩土伝　三宅意安_ページ_3.jpg</t>
  </si>
  <si>
    <t>ふ　婦人血暈　1765　鍼法弁惑　藤井秀孟_ページ_1.jpg</t>
  </si>
  <si>
    <t>ふ　婦人血暈　1765　鍼法弁惑　藤井秀孟_ページ_2.jpg</t>
  </si>
  <si>
    <t>ふ　婦人血気痛　1220　鍼灸資生経　王執中_ページ_1.jpg</t>
  </si>
  <si>
    <t>ふ　婦人血気痛　1220　鍼灸資生経　王執中_ページ_2.jpg</t>
  </si>
  <si>
    <t>ふ　婦人諸証　1574　兪穴参伍的法　秦宗巴.jpg</t>
  </si>
  <si>
    <t>ふ　婦人門　女の疾を集め書くなり　1694　療治之大概集　杉山和一.jpg</t>
  </si>
  <si>
    <t>ふ　婦人難生　1226　備急灸法　宋・聞人耆年.jpg</t>
  </si>
  <si>
    <t>ふ　風　0650　千金方　孫思ばく_ページ_1.jpg</t>
  </si>
  <si>
    <t>ふ　風　0650　千金方　孫思ばく_ページ_2.jpg</t>
  </si>
  <si>
    <t>ふう　風　1299　続添要穴集　惟宗時俊.jpg</t>
  </si>
  <si>
    <t>ふう　風　1425　神応経　明・陳会撰・劉瑾重校_ページ_1.jpg</t>
  </si>
  <si>
    <t>ふう　風　1425　神応経　明・陳会撰・劉瑾重校_ページ_2.jpg</t>
  </si>
  <si>
    <t>ふう　風　1537　鍼灸聚英　明・高武_ページ_1.jpg</t>
  </si>
  <si>
    <t>ふう　風　1537　鍼灸聚英　明・高武_ページ_2.jpg</t>
  </si>
  <si>
    <t>ふう　風　●陽受病発　第二上　0300　鍼灸甲乙経　皇甫謐_ページ_1.jpg</t>
  </si>
  <si>
    <t>ふう　風　●陽受病発　第二上　0300　鍼灸甲乙経　皇甫謐_ページ_2.jpg</t>
  </si>
  <si>
    <t>ふう　風　●陽受病発　第二上　0300　鍼灸甲乙経　皇甫謐_ページ_3.jpg</t>
  </si>
  <si>
    <t>ふう　風　●陽受病発　第二上　0300　鍼灸甲乙経　皇甫謐_ページ_4.jpg</t>
  </si>
  <si>
    <t>ふう　風　●陽受病発　第二下　0300　鍼灸甲乙経　皇甫謐_ページ_1.jpg</t>
  </si>
  <si>
    <t>ふう　風　●陽受病発　第二下　0300　鍼灸甲乙経　皇甫謐_ページ_2.jpg</t>
  </si>
  <si>
    <t>ふう　風　●陽受病発　第二下　0300　鍼灸甲乙経　皇甫謐_ページ_3.jpg</t>
  </si>
  <si>
    <t>ふう　風しん　1299　続添要穴集　惟宗時俊.jpg</t>
  </si>
  <si>
    <t>ふう　風労　1299　続添要穴集　惟宗時俊.jpg</t>
  </si>
  <si>
    <t>ふう　風労（余見労）　1220　鍼灸資生経　王執中.jpg</t>
  </si>
  <si>
    <t>ふう　風湿痛風　ふうしつつうふう　僂麻質斯（リウマチス）　1887（明治20）　鍼灸備要　青山道醇.jpg</t>
  </si>
  <si>
    <t>ふう　風牙疼　1226　備急灸法　宋・聞人耆年.jpg</t>
  </si>
  <si>
    <t>ふう　風狂　1574　兪穴参伍的法　秦宗巴.jpg</t>
  </si>
  <si>
    <t>ふう　風疹（いん疹）　1220　鍼灸資生経　王執中.jpg</t>
  </si>
  <si>
    <t>ふう　風痙（角弓反張）　1220　鍼灸資生経　王執中_ページ_1.jpg</t>
  </si>
  <si>
    <t>ふう　風痙（角弓反張）　1220　鍼灸資生経　王執中_ページ_2.jpg</t>
  </si>
  <si>
    <t>ふう　風痰頭痛　1315　鍼経摘英集　元・杜思敬「済生抜粋方」.jpg</t>
  </si>
  <si>
    <t>ふう　風痺不仁　1624　類経図翼　明・張介賓_ページ_1.jpg</t>
  </si>
  <si>
    <t>ふう　風痺不仁　1624　類経図翼　明・張介賓_ページ_2.jpg</t>
  </si>
  <si>
    <t>ふう　風痺（余見肩穴）　1220　鍼灸資生経　王執中_ページ_1.jpg</t>
  </si>
  <si>
    <t>ふう　風痺（余見肩穴）　1220　鍼灸資生経　王執中_ページ_2.jpg</t>
  </si>
  <si>
    <t>ふう　風癇　1563　鍼灸集要　曲直瀬道三.jpg</t>
  </si>
  <si>
    <t>ふう　風癇熱病，心風驚悸，霍乱吐痢，伏梁気状如覆杯　1315　鍼経摘英集　元・杜思敬「済生抜粋方」.jpg</t>
  </si>
  <si>
    <t>ふう　風癇（五癇）　1220　鍼灸資生経　王執中_ページ_1.jpg</t>
  </si>
  <si>
    <t>ふう　風癇（五癇）　1220　鍼灸資生経　王執中_ページ_2.jpg</t>
  </si>
  <si>
    <t>ふう　風癇（五癇）　1220　鍼灸資生経　王執中_ページ_3.jpg</t>
  </si>
  <si>
    <t>ふう　風眩（余見頭目眩 余論見風癇）　1220　鍼灸資生経　王執中.jpg</t>
  </si>
  <si>
    <t>ふう　風眼　1765　鍼法弁惑　藤井秀孟.jpg</t>
  </si>
  <si>
    <t>ふう　風邪　1299　続添要穴集　惟宗時俊.jpg</t>
  </si>
  <si>
    <t>ふう　（風水面ふ腫）●腎風発風水面ふ腫　第五　0300　鍼灸甲乙経　皇甫謐_ページ_1.jpg</t>
  </si>
  <si>
    <t>ふう　（風水面ふ腫）●腎風発風水面ふ腫　第五　0300　鍼灸甲乙経　皇甫謐_ページ_2.jpg</t>
  </si>
  <si>
    <t>ふく　小児腹腫痛　1607　扁鵲新流鍼書　越齋寿閑.jpg</t>
  </si>
  <si>
    <t>ふく　腹　腹痛　腹水鳴　腸鳴　1669　鍼灸枢要　山本玄通_ページ_01.jpg</t>
  </si>
  <si>
    <t>ふく　腹　腹痛　腹水鳴　腸鳴　1669　鍼灸枢要　山本玄通_ページ_02.jpg</t>
  </si>
  <si>
    <t>ふく　腹　腹痛　腹水鳴　腸鳴　1669　鍼灸枢要　山本玄通_ページ_03.jpg</t>
  </si>
  <si>
    <t>ふく　腹　腹痛　腹水鳴　腸鳴　1669　鍼灸枢要　山本玄通_ページ_04.jpg</t>
  </si>
  <si>
    <t>ふく　腹　腹痛　腹水鳴　腸鳴　1669　鍼灸枢要　山本玄通_ページ_05.jpg</t>
  </si>
  <si>
    <t>ふく　腹　腹痛　腹水鳴　腸鳴　1669　鍼灸枢要　山本玄通_ページ_06.jpg</t>
  </si>
  <si>
    <t>ふく　腹　腹痛　腹水鳴　腸鳴　1669　鍼灸枢要　山本玄通_ページ_07.jpg</t>
  </si>
  <si>
    <t>ふく　腹　腹痛　腹水鳴　腸鳴　1669　鍼灸枢要　山本玄通_ページ_08.jpg</t>
  </si>
  <si>
    <t>ふく　腹　腹痛　腹水鳴　腸鳴　1669　鍼灸枢要　山本玄通_ページ_09.jpg</t>
  </si>
  <si>
    <t>ふく　腹　腹痛　腹水鳴　腸鳴　1669　鍼灸枢要　山本玄通_ページ_10.jpg</t>
  </si>
  <si>
    <t>ふく　腹　腹痛　腹水鳴　腸鳴　1669　鍼灸枢要　山本玄通_ページ_11.jpg</t>
  </si>
  <si>
    <t>ふく　腹　腹痛　腹水鳴　腸鳴　1669　鍼灸枢要　山本玄通_ページ_12.jpg</t>
  </si>
  <si>
    <t>ふく　腹中気塊　1329　扁鵲神応鍼灸玉龍経　元・王国瑞_ページ_1.jpg</t>
  </si>
  <si>
    <t>ふく　腹中気塊　1329　扁鵲神応鍼灸玉龍経　元・王国瑞_ページ_2.jpg</t>
  </si>
  <si>
    <t>ふく　腹寒熱気　1220　鍼灸資生経　王執中.jpg</t>
  </si>
  <si>
    <t>ふく　腹暴脹按之不下　1315　鍼経摘英集　元・杜思敬「済生抜粋方」.jpg</t>
  </si>
  <si>
    <t>ふく　腹有逆気上攻，心腹脹満上搶心，痛不得息，気衝腰痛不得俛仰　1315　鍼経摘英集　元・杜思敬「済生抜粋方」.jpg</t>
  </si>
  <si>
    <t>ふく　腹満　1912年（大正01）　鍼灸手引草　久木田七郎.jpg</t>
  </si>
  <si>
    <t>ふく　腹満（心満脹）　1220　鍼灸資生経　王執中_ページ_1.jpg</t>
  </si>
  <si>
    <t>ふく　腹満（心満脹）　1220　鍼灸資生経　王執中_ページ_2.jpg</t>
  </si>
  <si>
    <t>ふく　腹病　0650　千金方　孫思ばく.jpg</t>
  </si>
  <si>
    <t>ふく　腹病　1574　兪穴参伍的法　秦宗巴_ページ_1.jpg</t>
  </si>
  <si>
    <t>ふく　腹病　1574　兪穴参伍的法　秦宗巴_ページ_2.jpg</t>
  </si>
  <si>
    <t>ふく　腹痛-02　1537　鍼灸聚英　明・高武.jpg</t>
  </si>
  <si>
    <t>ふく　腹痛　1220　鍼灸資生経　王執中_ページ_1.jpg</t>
  </si>
  <si>
    <t>ふく　腹痛　1220　鍼灸資生経　王執中_ページ_2.jpg</t>
  </si>
  <si>
    <t>ふく　腹痛　1329　扁鵲神応鍼灸玉龍経　元・王国瑞.jpg</t>
  </si>
  <si>
    <t>ふく　腹痛　1537　鍼灸聚英　明・高武.jpg</t>
  </si>
  <si>
    <t>ふく　腹痛　1563　鍼灸集要　曲直瀬道三.jpg</t>
  </si>
  <si>
    <t>ふく　腹痛　1613　古今集鍼法　長生庵了味か_ページ_1.jpg</t>
  </si>
  <si>
    <t>ふく　腹痛　1613　古今集鍼法　長生庵了味か_ページ_2.jpg</t>
  </si>
  <si>
    <t>ふく　腹痛　1679　鍼法奇貨　渡辺東伯_ページ_1.jpg</t>
  </si>
  <si>
    <t>ふく　腹痛　1679　鍼法奇貨　渡辺東伯_ページ_2.jpg</t>
  </si>
  <si>
    <t>ふく　腹痛　1679　鍼法奇貨　渡辺東伯_ページ_3.jpg</t>
  </si>
  <si>
    <t>ふく　腹痛　1679　鍼法奇貨　渡辺東伯_ページ_4.jpg</t>
  </si>
  <si>
    <t>ふく　腹痛　1679　鍼法奇貨　渡辺東伯_ページ_5.jpg</t>
  </si>
  <si>
    <t>ふく　腹痛　1679　鍼法奇貨　渡辺東伯_ページ_6.jpg</t>
  </si>
  <si>
    <t>ふく　腹痛　1679　鍼法奇貨　渡辺東伯_ページ_7.jpg</t>
  </si>
  <si>
    <t>ふく　腹痛　1679　鍼法奇貨　渡辺東伯_ページ_8.jpg</t>
  </si>
  <si>
    <t>ふく　腹痛　1680　鍼灸抜萃　著者未詳.jpg</t>
  </si>
  <si>
    <t>ふく　腹痛　1686　鍼灸要法指南　岩田利斎_ページ_1.jpg</t>
  </si>
  <si>
    <t>ふく　腹痛　1686　鍼灸要法指南　岩田利斎_ページ_2.jpg</t>
  </si>
  <si>
    <t>ふく　腹痛　1693　鍼灸要歌集　安井昌玄_ページ_1.jpg</t>
  </si>
  <si>
    <t>ふく　腹痛　1693　鍼灸要歌集　安井昌玄_ページ_2.jpg</t>
  </si>
  <si>
    <t>ふく　腹痛　1693　鍼灸要歌集　安井昌玄_ページ_3.jpg</t>
  </si>
  <si>
    <t>ふく　腹痛　1694　腹のいたむ事　療治之大概集　杉山和一.jpg</t>
  </si>
  <si>
    <t>ふく　腹痛　1694　鍼灸そかい集　高津敬節.jpg</t>
  </si>
  <si>
    <t>ふく　腹痛　1696　広益鍼灸抜萃　著者未詳_ページ_1.jpg</t>
  </si>
  <si>
    <t>ふく　腹痛　1696　広益鍼灸抜萃　著者未詳_ページ_2.jpg</t>
  </si>
  <si>
    <t>ふく　腹痛　1696　広益鍼灸抜萃　著者未詳_ページ_3.jpg</t>
  </si>
  <si>
    <t>ふく　腹痛　1698　鍼灸抜粋大成　岡本一抱.jpg</t>
  </si>
  <si>
    <t>ふく　腹痛　1718　はらのいたみ　鍼灸重宝記　本郷正豊.jpg</t>
  </si>
  <si>
    <t>ふく　腹痛　1767　鍼灸則　菅沼周桂_ページ_1.jpg</t>
  </si>
  <si>
    <t>ふく　腹痛　1767　鍼灸則　菅沼周桂_ページ_2.jpg</t>
  </si>
  <si>
    <t>ふく　腹痛　1767　（小児）　鍼灸則　菅沼周桂_ページ_1.jpg</t>
  </si>
  <si>
    <t>ふく　腹痛　1767　（小児）　鍼灸則　菅沼周桂_ページ_2.jpg</t>
  </si>
  <si>
    <t>ふく　腹痛　1773　鍼灸手引草　大簡室主人_ページ_1.jpg</t>
  </si>
  <si>
    <t>ふく　腹痛　1773　鍼灸手引草　大簡室主人_ページ_2.jpg</t>
  </si>
  <si>
    <t>ふく　腹痛　1773　鍼灸手引草　大簡室主人_ページ_3.jpg</t>
  </si>
  <si>
    <t>ふく　腹痛　1780　はらのいたみ　鍼灸極秘伝　木村太沖.jpg</t>
  </si>
  <si>
    <t>ふく　腹痛　1785　鍼書　本城義軒.jpg</t>
  </si>
  <si>
    <t>ふく　腹痛　1792　鍼法要集　源長起_ページ_1.jpg</t>
  </si>
  <si>
    <t>ふく　腹痛　1792　鍼法要集　源長起_ページ_2.jpg</t>
  </si>
  <si>
    <t>ふく　腹痛　1792　鍼法要集　源長起_ページ_3.jpg</t>
  </si>
  <si>
    <t>ふく　腹痛　1792　鍼法要集　源長起_ページ_4.jpg</t>
  </si>
  <si>
    <t>ふく　腹痛　1794　杉山流鍼術　島浦和田一.jpg</t>
  </si>
  <si>
    <t>ふく　腹痛　1800　鍼灸備要　小坂元祐_ページ_1.jpg</t>
  </si>
  <si>
    <t>ふく　腹痛　1800　鍼灸備要　小坂元祐_ページ_2.jpg</t>
  </si>
  <si>
    <t>ふく　腹痛　1800　鍼灸備要　小坂元祐_ページ_3.jpg</t>
  </si>
  <si>
    <t>ふく　腹痛　1800　鍼灸備要　小坂元祐_ページ_4.jpg</t>
  </si>
  <si>
    <t>ふく　腹痛　1813　名家灸選　浅井惟亨_ページ_1.jpg</t>
  </si>
  <si>
    <t>ふく　腹痛　1813　名家灸選　浅井惟亨_ページ_2.jpg</t>
  </si>
  <si>
    <t>ふく　腹痛　1912年（大正01）　鍼灸手引草　久木田七郎.jpg</t>
  </si>
  <si>
    <t>ふく　腹痛　成書年未詳　灸穴集　著者未詳_ページ_1.jpg</t>
  </si>
  <si>
    <t>ふく　腹痛　成書年未詳　灸穴集　著者未詳_ページ_2.jpg</t>
  </si>
  <si>
    <t>ふく　腹痛　成書年未詳　灸穴集　著者未詳_ページ_3.jpg</t>
  </si>
  <si>
    <t>ふく　腹脹　1220　鍼灸資生経　王執中_ページ_1.jpg</t>
  </si>
  <si>
    <t>ふく　腹脹　1220　鍼灸資生経　王執中_ページ_2.jpg</t>
  </si>
  <si>
    <t>ふく　腹脹　1686　鍼灸要法指南　岩田利斎_ページ_1.jpg</t>
  </si>
  <si>
    <t>ふく　腹脹　1686　鍼灸要法指南　岩田利斎_ページ_2.jpg</t>
  </si>
  <si>
    <t>ふく　腹脹　1693　鍼灸要歌集　安井昌玄_ページ_1.jpg</t>
  </si>
  <si>
    <t>ふく　腹脹　1693　鍼灸要歌集　安井昌玄_ページ_2.jpg</t>
  </si>
  <si>
    <t>ふく　腹脹　1694　選鍼三要集　杉山和一.jpg</t>
  </si>
  <si>
    <t>ふく　腹脹　1767　（小児）　鍼灸則　菅沼周桂.jpg</t>
  </si>
  <si>
    <t>ふく　腹脹満腸中鳴短気　●脾胃大腸受病発腹脹満腸中鳴短気　第七　0300　鍼灸甲乙経　皇甫謐_ページ_1.jpg</t>
  </si>
  <si>
    <t>ふく　腹脹満腸中鳴短気　●脾胃大腸受病発腹脹満腸中鳴短気　第七　0300　鍼灸甲乙経　皇甫謐_ページ_2.jpg</t>
  </si>
  <si>
    <t>ふく　腹脹満腸中鳴短気　●脾胃大腸受病発腹脹満腸中鳴短気　第七　0300　鍼灸甲乙経　皇甫謐_ページ_3.jpg</t>
  </si>
  <si>
    <t>ふく　腹脹硬あるいは小腹堅　ふかみがたく、おしてはらはりたる人　1780　鍼灸極秘伝　木村太沖.jpg</t>
  </si>
  <si>
    <t>ふく　腹部脹満部　1425　神応経　明・陳会撰・劉瑾重校_ページ_1.jpg</t>
  </si>
  <si>
    <t>ふく　腹部脹満部　1425　神応経　明・陳会撰・劉瑾重校_ページ_2.jpg</t>
  </si>
  <si>
    <t>ふく　腹部脹満部　1425　神応経　明・陳会撰・劉瑾重校_ページ_3.jpg</t>
  </si>
  <si>
    <t>ふぐ　河豚毒　ふぐのどくにあたる　1780　鍼灸極秘伝　木村太沖.jpg</t>
  </si>
  <si>
    <t>ふね　舟酔　成書年未詳　灸穴集　著者未詳.jpg</t>
  </si>
  <si>
    <t>ふる　古血堅痛之穴　1613　古今集鍼法　長生庵了味か.jpg</t>
  </si>
  <si>
    <t>ぶく　伏梁息賁肥気痞気奔豚　●経絡受病人腸胃五臓積発伏梁息賁肥気痞気奔豚　第二　0300　鍼灸甲乙経　皇甫謐_ページ_1.jpg</t>
  </si>
  <si>
    <t>ぶく　伏梁息賁肥気痞気奔豚　●経絡受病人腸胃五臓積発伏梁息賁肥気痞気奔豚　第二　0300　鍼灸甲乙経　皇甫謐_ページ_2.jpg</t>
  </si>
  <si>
    <t>ぶく　伏梁息賁肥気痞気奔豚　●経絡受病人腸胃五臓積発伏梁息賁肥気痞気奔豚　第二　0300　鍼灸甲乙経　皇甫謐_ページ_3.jpg</t>
  </si>
  <si>
    <t>ぶく　伏梁息賁肥気痞気奔豚　●経絡受病人腸胃五臓積発伏梁息賁肥気痞気奔豚　第二　0300　鍼灸甲乙経　皇甫謐_ページ_4.jpg</t>
  </si>
  <si>
    <t>ぶく　伏梁息賁肥気痞気奔豚　●経絡受病人腸胃五臓積発伏梁息賁肥気痞気奔豚　第二　0300　鍼灸甲乙経　皇甫謐_ページ_5.jpg</t>
  </si>
  <si>
    <t>ぶく　伏梁息賁肥気痞気奔豚　●経絡受病人腸胃五臓積発伏梁息賁肥気痞気奔豚　第二　0300　鍼灸甲乙経　皇甫謐_ページ_6.jpg</t>
  </si>
  <si>
    <t>へき　癖疾　1669　（小児）　鍼灸枢要　山本玄通_ページ_1.jpg</t>
  </si>
  <si>
    <t>へき　癖疾　1669　（小児）　鍼灸枢要　山本玄通_ページ_2.jpg</t>
  </si>
  <si>
    <t>へき　癖疾　1686　かたかい　鍼灸要法指南　岩田利斎.jpg</t>
  </si>
  <si>
    <t>へき　癖疾　1693　鍼灸要歌集　安井昌玄_ページ_1.jpg</t>
  </si>
  <si>
    <t>へき　癖疾　1693　鍼灸要歌集　安井昌玄_ページ_2.jpg</t>
  </si>
  <si>
    <t>へき　癖疾　1694　腹脇に有る塊なり　世俗にかはらと云ひ又はかたかいとも云ふなり　療治之大概集　杉山和一.jpg</t>
  </si>
  <si>
    <t>へき　癖疾　1767　（小児）　鍼灸則　菅沼周桂.jpg</t>
  </si>
  <si>
    <t>へき　癖疾　1800　鍼灸備要　小坂元祐_ページ_1.jpg</t>
  </si>
  <si>
    <t>へき　癖疾　1800　鍼灸備要　小坂元祐_ページ_2.jpg</t>
  </si>
  <si>
    <t>へき　癖積　1718　かたかい　鍼灸重宝記　本郷正豊_ページ_1.jpg</t>
  </si>
  <si>
    <t>へき　癖積　1718　かたかい　鍼灸重宝記　本郷正豊_ページ_2.jpg</t>
  </si>
  <si>
    <t>へき　癖積　1773　鍼灸手引草　大簡室主人.jpg</t>
  </si>
  <si>
    <t>へき　癖積　成書年未詳　灸穴集　著者未詳.jpg</t>
  </si>
  <si>
    <t>へん　偏堕気　1813　名家灸選三編　平井庸信_ページ_1.jpg</t>
  </si>
  <si>
    <t>へん　偏堕気　1813　名家灸選三編　平井庸信_ページ_2.jpg</t>
  </si>
  <si>
    <t>へん　偏枯　1765　鍼法弁惑　藤井秀孟_ページ_1.jpg</t>
  </si>
  <si>
    <t>へん　偏枯　1765　鍼法弁惑　藤井秀孟_ページ_2.jpg</t>
  </si>
  <si>
    <t>へん　偏枯（へんこ）　かたみしびれ　半身麻痺　1887（明治20）　鍼灸備要　青山道醇.jpg</t>
  </si>
  <si>
    <t>へん　偏正頭痛　1315　鍼経摘英集　元・杜思敬「済生抜粋方」_ページ_1.jpg</t>
  </si>
  <si>
    <t>へん　偏正頭痛　1315　鍼経摘英集　元・杜思敬「済生抜粋方」_ページ_2.jpg</t>
  </si>
  <si>
    <t>へん　偏正頭風　1329　扁鵲神応鍼灸玉龍経　元・王国瑞.jpg</t>
  </si>
  <si>
    <t>へん　偏頭痛（へんづつう）　かたづつう　偏頭神経痛　1887（明治20）　鍼灸備要　青山道醇.jpg</t>
  </si>
  <si>
    <t>へん　偏風（偏枯 半身不遂）　1220　鍼灸資生経　王執中_ページ_1.jpg</t>
  </si>
  <si>
    <t>へん　偏風（偏枯 半身不遂）　1220　鍼灸資生経　王執中_ページ_2.jpg</t>
  </si>
  <si>
    <t>へん　変蒸　1686　鍼灸要法指南　岩田利斎.jpg</t>
  </si>
  <si>
    <t>べん　便毒　1773　鍼灸手引草　大簡室主人.jpg</t>
  </si>
  <si>
    <t>べん　便毒　1807　続名家灸選　平井庸信.jpg</t>
  </si>
  <si>
    <t>べん　便毒　1912年（大正01）　鍼灸手引草　久木田七郎.jpg</t>
  </si>
  <si>
    <t>べん　便毒　よこね　一名くわ馬癰（くわばよう）　一名血疝　1686　鍼灸要法指南　岩田利斎.jpg</t>
  </si>
  <si>
    <t>べん　便毒　成書年未詳　灸穴集　著者未詳.jpg</t>
  </si>
  <si>
    <t>べん　便毒之針穴　1613　古今集鍼法　長生庵了味か.jpg</t>
  </si>
  <si>
    <t>べん　便毒岐路　1758　灸ぜつ塩土伝　三宅意安_ページ_1.jpg</t>
  </si>
  <si>
    <t>べん　便毒岐路　1758　灸ぜつ塩土伝　三宅意安_ページ_2.jpg</t>
  </si>
  <si>
    <t>べん　便濁　1767　鍼灸則　菅沼周桂_ページ_1.jpg</t>
  </si>
  <si>
    <t>べん　便濁　1767　鍼灸則　菅沼周桂_ページ_2.jpg</t>
  </si>
  <si>
    <t>べん　便血　1220　鍼灸資生経　王執中.jpg</t>
  </si>
  <si>
    <t>べん　便血　1563　鍼灸集要　曲直瀬道三.jpg</t>
  </si>
  <si>
    <t>べん　便血　1574　兪穴参伍的法　秦宗巴.jpg</t>
  </si>
  <si>
    <t>べん　便血　1624　類経図翼　明・張介賓_ページ_1.jpg</t>
  </si>
  <si>
    <t>べん　便血　1624　類経図翼　明・張介賓_ページ_2.jpg</t>
  </si>
  <si>
    <t>べん　便血　1694　選鍼三要集　杉山和一.jpg</t>
  </si>
  <si>
    <t>べん　便血　1767　鍼灸則　菅沼周桂.jpg</t>
  </si>
  <si>
    <t>べん　便血　げけつ　1686　鍼灸要法指南　岩田利斎.jpg</t>
  </si>
  <si>
    <t>べん　便血　玉機微義針灸証治　1537　鍼灸聚英　明・高武_ページ_1.jpg</t>
  </si>
  <si>
    <t>べん　便血　玉機微義針灸証治　1537　鍼灸聚英　明・高武_ページ_2.jpg</t>
  </si>
  <si>
    <t>べん　便血　血の下る病　腸出血　1887（明治20）　鍼灸備要　青山道醇.jpg</t>
  </si>
  <si>
    <t>ほう　崩漏　1669　鍼灸枢要　山本玄通_ページ_1.jpg</t>
  </si>
  <si>
    <t>ほう　崩漏　1669　鍼灸枢要　山本玄通_ページ_2.jpg</t>
  </si>
  <si>
    <t>ほう　崩漏　1669　鍼灸枢要　山本玄通_ページ_3.jpg</t>
  </si>
  <si>
    <t>ほう　崩漏　1800　鍼灸備要　小坂元祐_ページ_1.jpg</t>
  </si>
  <si>
    <t>ほう　崩漏　1800　鍼灸備要　小坂元祐_ページ_2.jpg</t>
  </si>
  <si>
    <t>ほう　崩漏帯下　1792　鍼法要集　源長起_ページ_1.jpg</t>
  </si>
  <si>
    <t>ほう　崩漏帯下　1792　鍼法要集　源長起_ページ_2.jpg</t>
  </si>
  <si>
    <t>ほう　崩漏帯下　1813　名家灸選　浅井惟亨_ページ_1.jpg</t>
  </si>
  <si>
    <t>ほう　崩漏帯下　1813　名家灸選　浅井惟亨_ページ_2.jpg</t>
  </si>
  <si>
    <t>ほう　崩漏（ほうろう）　ちくだれ、又、ちおり　子宮出血、又、子宮血崩　1887（明治20）　鍼灸備要　青山道醇.jpg</t>
  </si>
  <si>
    <t>ほう　崩血　にわかに血がくだりて死せんとする人　1780　鍼灸極秘伝　木村太沖.jpg</t>
  </si>
  <si>
    <t>ほう　疱瘡（ほうそう）　1686　鍼灸要法指南　岩田利斎_ページ_1.jpg</t>
  </si>
  <si>
    <t>ほう　疱瘡（ほうそう）　1686　鍼灸要法指南　岩田利斎_ページ_2.jpg</t>
  </si>
  <si>
    <t>ほう　胞衣不下　1693　鍼灸要歌集　安井昌玄.jpg</t>
  </si>
  <si>
    <t>ほう　胞衣不下　1765　鍼法弁惑　藤井秀孟.jpg</t>
  </si>
  <si>
    <t>ほう　胞衣不下　1767　鍼灸則　菅沼周桂.jpg</t>
  </si>
  <si>
    <t>ほう　胞門　1794　杉山流鍼術　島浦和田一_ページ_1.jpg</t>
  </si>
  <si>
    <t>ほう　胞門　1794　杉山流鍼術　島浦和田一_ページ_2.jpg</t>
  </si>
  <si>
    <t>ほん　翻胃　1694　膈の事　療治之大概集　杉山和一.jpg</t>
  </si>
  <si>
    <t>ほん　翻胃　1767　鍼灸則　菅沼周桂_ページ_1.jpg</t>
  </si>
  <si>
    <t>ほん　翻胃　1767　鍼灸則　菅沼周桂_ページ_2.jpg</t>
  </si>
  <si>
    <t>ほん　翻胃　食物をはくやまひ　1780　鍼灸極秘伝　木村太沖.jpg</t>
  </si>
  <si>
    <t>ほん　膈噎　翻胃　成書年未詳　灸穴集　著者未詳.jpg</t>
  </si>
  <si>
    <t>ほん　賁豚　0650　千金方　孫思ばく_ページ_1.jpg</t>
  </si>
  <si>
    <t>ほん　賁豚　0650　千金方　孫思ばく_ページ_2.jpg</t>
  </si>
  <si>
    <t>ほん　賁豚気　1220　鍼灸資生経　王執中_ページ_1.jpg</t>
  </si>
  <si>
    <t>ほん　賁豚気　1220　鍼灸資生経　王執中_ページ_2.jpg</t>
  </si>
  <si>
    <t>ほん　賁豚気　1912年（大正01）　鍼灸手引草　久木田七郎.jpg</t>
  </si>
  <si>
    <t>ぼう　亡心之針　1685　鍼道秘訣集　御園夢分斎.jpg</t>
  </si>
  <si>
    <t>ぼう　膀胱気　1220　鍼灸資生経　王執中_ページ_1.jpg</t>
  </si>
  <si>
    <t>ぼう　膀胱気　1220　鍼灸資生経　王執中_ページ_2.jpg</t>
  </si>
  <si>
    <t>ぼう　膀胱病　1912年（大正01）　鍼灸手引草　久木田七郎.jpg</t>
  </si>
  <si>
    <t>ま　麻木　1767　鍼灸則　菅沼周桂_ページ_1.jpg</t>
  </si>
  <si>
    <t>ま　麻木　1767　鍼灸則　菅沼周桂_ページ_2.jpg</t>
  </si>
  <si>
    <t>ま　麻木　不仁　1669　鍼灸枢要　山本玄通_ページ_1.jpg</t>
  </si>
  <si>
    <t>ま　麻木　不仁　1669　鍼灸枢要　山本玄通_ページ_2.jpg</t>
  </si>
  <si>
    <t>ま　麻木　不仁　1669　鍼灸枢要　山本玄通_ページ_3.jpg</t>
  </si>
  <si>
    <t>ま　麻木　不仁　1794　杉山流鍼術　島浦和田一.jpg</t>
  </si>
  <si>
    <t>ま　麻木　不仁　1800　鍼灸備要　小坂元祐_ページ_1.jpg</t>
  </si>
  <si>
    <t>ま　麻木　不仁　1800　鍼灸備要　小坂元祐_ページ_2.jpg</t>
  </si>
  <si>
    <t>ま　麻木（まぼく）　しびれ　麻痺病　1887（明治20）　鍼灸備要　青山道醇.jpg</t>
  </si>
  <si>
    <t>ま　麻疹　1792　鍼法要集　源長起.jpg</t>
  </si>
  <si>
    <t>ま　麻痺　成書年未詳　灸穴集　著者未詳.jpg</t>
  </si>
  <si>
    <t>まん　万病総治　1800　岡田流鍼術書　岡田見龍_ページ_1.jpg</t>
  </si>
  <si>
    <t>まん　万病総治　1800　岡田流鍼術書　岡田見龍_ページ_2.jpg</t>
  </si>
  <si>
    <t>みゃく　脈微細不見或時無脈者　1315　鍼経摘英集　元・杜思敬「済生抜粋方」.jpg</t>
  </si>
  <si>
    <t>みゃく　脈絶　1773　鍼灸手引草　大簡室主人_ページ_1.jpg</t>
  </si>
  <si>
    <t>みゃく　脈絶　1773　鍼灸手引草　大簡室主人_ページ_2.jpg</t>
  </si>
  <si>
    <t>みゃく　脉絶　みやくたゆる　1718　鍼灸重宝記　本郷正豊.jpg</t>
  </si>
  <si>
    <t>みゃく　（脈代）●胸中寒発脈代　第一　0300　鍼灸甲乙経　皇甫謐.jpg</t>
  </si>
  <si>
    <t>む　夢寐　1669　鍼灸枢要　山本玄通_ページ_1.jpg</t>
  </si>
  <si>
    <t>む　夢寐　1669　鍼灸枢要　山本玄通_ページ_2.jpg</t>
  </si>
  <si>
    <t>む　夢遺　1537　鍼灸聚英　明・高武.jpg</t>
  </si>
  <si>
    <t>む　夢遺失精　白濁　1912年（大正01）　鍼灸手引草　久木田七郎_ページ_1.jpg</t>
  </si>
  <si>
    <t>む　夢遺失精　白濁　1912年（大正01）　鍼灸手引草　久木田七郎_ページ_2.jpg</t>
  </si>
  <si>
    <t>む　夢遺失精（白濁）　1220　鍼灸資生経　王執中_ページ_1.jpg</t>
  </si>
  <si>
    <t>む　夢遺失精（白濁）　1220　鍼灸資生経　王執中_ページ_2.jpg</t>
  </si>
  <si>
    <t>む　夢遺精滑遺精　成書年未詳　灸穴集　著者未詳_ページ_1.jpg</t>
  </si>
  <si>
    <t>む　夢遺精滑遺精　成書年未詳　灸穴集　著者未詳_ページ_2.jpg</t>
  </si>
  <si>
    <t>む　夢遺精滑鬼交　1624　類経図翼　明・張介賓.jpg</t>
  </si>
  <si>
    <t>む　夢魘（雑夢）　1220　鍼灸資生経　王執中.jpg</t>
  </si>
  <si>
    <t>む　無子（むし）　こなし　不孕病（ふようびょう）　1887（明治20）　鍼灸備要　青山道醇_ページ_1.jpg</t>
  </si>
  <si>
    <t>む　無子（むし）　こなし　不孕病（ふようびょう）　1887（明治20）　鍼灸備要　青山道醇_ページ_2.jpg</t>
  </si>
  <si>
    <t>む　無汗　1765　鍼法弁惑　藤井秀孟_ページ_1.jpg</t>
  </si>
  <si>
    <t>む　無汗　1765　鍼法弁惑　藤井秀孟_ページ_2.jpg</t>
  </si>
  <si>
    <t>むし　虫喰歯　1607　扁鵲新流鍼書　越齋寿閑.jpg</t>
  </si>
  <si>
    <t>むし　虫喰歯之針穴　1613　古今集鍼法　長生庵了味か.jpg</t>
  </si>
  <si>
    <t>むし　虫歯痛灸　1594　経脈方寸秘書　曲直瀬道三.jpg</t>
  </si>
  <si>
    <t>むし　諸虫　1767　鍼灸則　菅沼周桂.jpg</t>
  </si>
  <si>
    <t>めん　面　1800　鍼灸備要　小坂元祐_ページ_1.jpg</t>
  </si>
  <si>
    <t>めん　面　1800　鍼灸備要　小坂元祐_ページ_2.jpg</t>
  </si>
  <si>
    <t>めん　面　頤　頬　1669　鍼灸枢要　山本玄通_ページ_1.jpg</t>
  </si>
  <si>
    <t>めん　面　頤　頬　1669　鍼灸枢要　山本玄通_ページ_2.jpg</t>
  </si>
  <si>
    <t>めん　面　頤　頬　1669　鍼灸枢要　山本玄通_ページ_3.jpg</t>
  </si>
  <si>
    <t>めん　面　頤　頬　1669　鍼灸枢要　山本玄通_ページ_4.jpg</t>
  </si>
  <si>
    <t>めん　面病　0650　千金方　孫思ばく.jpg</t>
  </si>
  <si>
    <t>めん　面病　1686　鍼灸要法指南　岩田利斎_ページ_1.jpg</t>
  </si>
  <si>
    <t>めん　面病　1686　鍼灸要法指南　岩田利斎_ページ_2.jpg</t>
  </si>
  <si>
    <t>めん　面痛　1220　鍼灸資生経　王執中.jpg</t>
  </si>
  <si>
    <t>めん　面痛（めんつう）　かほのいたむ病　顔面神経痛　1887（明治20）　鍼灸備要　青山道醇.jpg</t>
  </si>
  <si>
    <t>めん　面腫（余見水腫）　1220　鍼灸資生経　王執中_ページ_1.jpg</t>
  </si>
  <si>
    <t>めん　面腫（余見水腫）　1220　鍼灸資生経　王執中_ページ_2.jpg</t>
  </si>
  <si>
    <t>めん　面赤腫黒　1299　続添要穴集　惟宗時俊.jpg</t>
  </si>
  <si>
    <t>もく　●目不得眠不得視及多臥臥不安不得偃臥肉苛諸息有音及喘　第三　0300　鍼灸甲乙経　皇甫謐_ページ_1.jpg</t>
  </si>
  <si>
    <t>もく　●目不得眠不得視及多臥臥不安不得偃臥肉苛諸息有音及喘　第三　0300　鍼灸甲乙経　皇甫謐_ページ_2.jpg</t>
  </si>
  <si>
    <t>もく　●目不得眠不得視及多臥臥不安不得偃臥肉苛諸息有音及喘　第三　0300　鍼灸甲乙経　皇甫謐_ページ_3.jpg</t>
  </si>
  <si>
    <t>もく　目し　やに　1765　鍼法弁惑　藤井秀孟.jpg</t>
  </si>
  <si>
    <t>もく　目じゅん　めひくひくうごく　1765　鍼法弁惑　藤井秀孟.jpg</t>
  </si>
  <si>
    <t>もく　目の針　1607　扁鵲新流鍼書　越齋寿閑.jpg</t>
  </si>
  <si>
    <t>もく　目べつ　ただれ　1765　鍼法弁惑　藤井秀孟.jpg</t>
  </si>
  <si>
    <t>もく　目上視　1912年（大正01）　鍼灸手引草　久木田七郎.jpg</t>
  </si>
  <si>
    <t>もく　目上視（目動）　1220　鍼灸資生経　王執中.jpg</t>
  </si>
  <si>
    <t>もく　目不明　1220　鍼灸資生経　王執中_ページ_1.jpg</t>
  </si>
  <si>
    <t>もく　目不明　1220　鍼灸資生経　王執中_ページ_2.jpg</t>
  </si>
  <si>
    <t>もく　目不明　1220　鍼灸資生経　王執中_ページ_3.jpg</t>
  </si>
  <si>
    <t>もく　目不明　1912年（大正01）　鍼灸手引草　久木田七郎.jpg</t>
  </si>
  <si>
    <t>もく　目不瞑　1765　鍼法弁惑　藤井秀孟.jpg</t>
  </si>
  <si>
    <t>もく　目反上張　めのひっくりかえる　1765　鍼法弁惑　藤井秀孟.jpg</t>
  </si>
  <si>
    <t>もく　目昏　1329　扁鵲神応鍼灸玉龍経　元・王国瑞.jpg</t>
  </si>
  <si>
    <t>もく　目涙出　1220　鍼灸資生経　王執中_ページ_1.jpg</t>
  </si>
  <si>
    <t>もく　目涙出　1220　鍼灸資生経　王執中_ページ_2.jpg</t>
  </si>
  <si>
    <t>もく　目熱　1329　扁鵲神応鍼灸玉龍経　元・王国瑞.jpg</t>
  </si>
  <si>
    <t>もく　目爛　1329　扁鵲神応鍼灸玉龍経　元・王国瑞_ページ_1.jpg</t>
  </si>
  <si>
    <t>もく　目爛　1329　扁鵲神応鍼灸玉龍経　元・王国瑞_ページ_2.jpg</t>
  </si>
  <si>
    <t>もく　目疾　1574　兪穴参伍的法　秦宗巴.jpg</t>
  </si>
  <si>
    <t>もく　目疾諸症　1765　鍼法弁惑　藤井秀孟_ページ_1.jpg</t>
  </si>
  <si>
    <t>もく　目疾諸症　1765　鍼法弁惑　藤井秀孟_ページ_2.jpg</t>
  </si>
  <si>
    <t>もく　目病　0300　●足太陽陽明手少陽脈動発目病　第四　鍼灸甲乙経　皇甫謐_ページ_1.jpg</t>
  </si>
  <si>
    <t>もく　目病　0300　●足太陽陽明手少陽脈動発目病　第四　鍼灸甲乙経　皇甫謐_ページ_2.jpg</t>
  </si>
  <si>
    <t>もく　目病　0300　●足太陽陽明手少陽脈動発目病　第四　鍼灸甲乙経　皇甫謐_ページ_3.jpg</t>
  </si>
  <si>
    <t>もく　目病　0650　千金方　孫思ばく_ページ_1.jpg</t>
  </si>
  <si>
    <t>もく　目病　0650　千金方　孫思ばく_ページ_2.jpg</t>
  </si>
  <si>
    <t>もく　目病　0650　千金方　孫思ばく_ページ_3.jpg</t>
  </si>
  <si>
    <t>もく　目病隠渋　1329　扁鵲神応鍼灸玉龍経　元・王国瑞_ページ_1.jpg</t>
  </si>
  <si>
    <t>もく　目病隠渋　1329　扁鵲神応鍼灸玉龍経　元・王国瑞_ページ_2.jpg</t>
  </si>
  <si>
    <t>もく　目痛　1765　鍼法弁惑　藤井秀孟_ページ_1.jpg</t>
  </si>
  <si>
    <t>もく　目痛　1765　鍼法弁惑　藤井秀孟_ページ_2.jpg</t>
  </si>
  <si>
    <t>もく　目痛　1912年（大正01）　鍼灸手引草　久木田七郎.jpg</t>
  </si>
  <si>
    <t>もく　目痛（目瞑）　1220　鍼灸資生経　王執中_ページ_1.jpg</t>
  </si>
  <si>
    <t>もく　目痛（目瞑）　1220　鍼灸資生経　王執中_ページ_2.jpg</t>
  </si>
  <si>
    <t>もく　目瘡の妙灸　1594　経脈方寸秘書　曲直瀬道三.jpg</t>
  </si>
  <si>
    <t>もく　目白翳　1912年（大正01）　鍼灸手引草　久木田七郎_ページ_1.jpg</t>
  </si>
  <si>
    <t>もく　目白翳　1912年（大正01）　鍼灸手引草　久木田七郎_ページ_2.jpg</t>
  </si>
  <si>
    <t>もく　目眩　1220　鍼灸資生経　王執中_ページ_1.jpg</t>
  </si>
  <si>
    <t>もく　目眩　1220　鍼灸資生経　王執中_ページ_2.jpg</t>
  </si>
  <si>
    <t>もく　目眩　1794　杉山流鍼術　島浦和田一.jpg</t>
  </si>
  <si>
    <t>もく　目眩　1912年（大正01）　鍼灸手引草　久木田七郎_ページ_1.jpg</t>
  </si>
  <si>
    <t>もく　目眩　1912年（大正01）　鍼灸手引草　久木田七郎_ページ_2.jpg</t>
  </si>
  <si>
    <t>もく　目翳膜　1220　鍼灸資生経　王執中_ページ_1.jpg</t>
  </si>
  <si>
    <t>もく　目翳膜　1220　鍼灸資生経　王執中_ページ_2.jpg</t>
  </si>
  <si>
    <t>もく　目腫の妙灸　1594　経脈方寸秘書　曲直瀬道三.jpg</t>
  </si>
  <si>
    <t>もく　目赤　1220　鍼灸資生経　王執中_ページ_1.jpg</t>
  </si>
  <si>
    <t>もく　目赤　1220　鍼灸資生経　王執中_ページ_2.jpg</t>
  </si>
  <si>
    <t>もく　目赤　1329　扁鵲神応鍼灸玉龍経　元・王国瑞_ページ_1.jpg</t>
  </si>
  <si>
    <t>もく　目赤　1329　扁鵲神応鍼灸玉龍経　元・王国瑞_ページ_2.jpg</t>
  </si>
  <si>
    <t>もく　目赤或熱痛之針穴　1613　古今集鍼法　長生庵了味か.jpg</t>
  </si>
  <si>
    <t>や　夜啼　1607　扁鵲新流鍼書　越齋寿閑.jpg</t>
  </si>
  <si>
    <t>や　夜啼　1669　鍼灸枢要　山本玄通.jpg</t>
  </si>
  <si>
    <t>や　夜啼　1693　鍼灸要歌集　安井昌玄.jpg</t>
  </si>
  <si>
    <t>や　夜啼　1694　選鍼三要集　杉山和一.jpg</t>
  </si>
  <si>
    <t>や　夜啼　1780　小児のよなきに　鍼灸極秘伝　木村太沖.jpg</t>
  </si>
  <si>
    <t>や　夜啼　1794　杉山流鍼術　島浦和田一.jpg</t>
  </si>
  <si>
    <t>や　夜啼　1800　鍼灸備要　小坂元祐.jpg</t>
  </si>
  <si>
    <t>や　夜啼　客忤（かくこ）　よなき　1686　鍼灸要法指南　岩田利斎.jpg</t>
  </si>
  <si>
    <t>や　夜啼客忤　夜啼はよなき客忤はをびゆるなり　1694　療治之大概集　杉山和一.jpg</t>
  </si>
  <si>
    <t>や　夜啼（小児）　1767　鍼灸則　菅沼周桂.jpg</t>
  </si>
  <si>
    <t>や　夜尿及遺尿　1912年（大正01）　鍼灸手引草　久木田七郎.jpg</t>
  </si>
  <si>
    <t>や　夜魘不寤　1226　備急灸法　宋・聞人耆年.jpg</t>
  </si>
  <si>
    <t>ゆう　憂悲　哭泣　1912年（大正01）　鍼灸手引草　久木田七郎.jpg</t>
  </si>
  <si>
    <t>ゆう　疣目　1813　名家灸選三編　平井庸信.jpg</t>
  </si>
  <si>
    <t>よ　夜しと　1607　扁鵲新流鍼書　越齋寿閑.jpg</t>
  </si>
  <si>
    <t>よう　よう瘤　0300　●気有所結発よう瘤　第九　鍼灸甲乙経　皇甫謐.jpg</t>
  </si>
  <si>
    <t>よう　外科門　瘡瘍　かさはれもの　1718　鍼灸重宝記　本郷正豊_ページ_1.jpg</t>
  </si>
  <si>
    <t>よう　外科門　瘡瘍　かさはれもの　1718　鍼灸重宝記　本郷正豊_ページ_2.jpg</t>
  </si>
  <si>
    <t>よう　妖精著人　1765　鍼法弁惑　藤井秀孟_ページ_1.jpg</t>
  </si>
  <si>
    <t>よう　妖精著人　1765　鍼法弁惑　藤井秀孟_ページ_2.jpg</t>
  </si>
  <si>
    <t>よう　妖精著人　1765　鍼法弁惑　藤井秀孟_ページ_3.jpg</t>
  </si>
  <si>
    <t>よう　妖精著人　1765　鍼法弁惑　藤井秀孟_ページ_4.jpg</t>
  </si>
  <si>
    <t>よう　妖精著人　1765　鍼法弁惑　藤井秀孟_ページ_5.jpg</t>
  </si>
  <si>
    <t>よう　妖精著人　1765　鍼法弁惑　藤井秀孟_ページ_6.jpg</t>
  </si>
  <si>
    <t>よう　妖精著人　1765　鍼法弁惑　藤井秀孟_ページ_7.jpg</t>
  </si>
  <si>
    <t>よう　孕子煩之論　1693　鍼灸要歌集　安井昌玄.jpg</t>
  </si>
  <si>
    <t>よう　揚梅瘡　一名天疱瘡　綿花瘡　ばん花瘡　1686　鍼灸要法指南　岩田利斎_ページ_1.jpg</t>
  </si>
  <si>
    <t>よう　揚梅瘡　一名天疱瘡　綿花瘡　ばん花瘡　1686　鍼灸要法指南　岩田利斎_ページ_2.jpg</t>
  </si>
  <si>
    <t>よう　揺頭　1794　杉山流鍼術　島浦和田一.jpg</t>
  </si>
  <si>
    <t>よう　瘍しょう（ねぶと）　1773　鍼灸手引草　大簡室主人.jpg</t>
  </si>
  <si>
    <t>よう　癰　0300　内癰　●邪気聚於下かん発内癰　第八　鍼灸甲乙経　皇甫謐_ページ_1.jpg</t>
  </si>
  <si>
    <t>よう　癰　0300　内癰　●邪気聚於下かん発内癰　第八　鍼灸甲乙経　皇甫謐_ページ_2.jpg</t>
  </si>
  <si>
    <t>よう　癰　疔　諸悪瘡　1807　続名家灸選　平井庸信_ページ_1.jpg</t>
  </si>
  <si>
    <t>よう　癰　疔　諸悪瘡　1807　続名家灸選　平井庸信_ページ_2.jpg</t>
  </si>
  <si>
    <t>よう　癰疽　0300　●寒気客於経絡之中発癰疽風成発厲浸厲　第九下　鍼灸甲乙経　皇甫謐_ページ_1.jpg</t>
  </si>
  <si>
    <t>よう　癰疽　0300　●寒気客於経絡之中発癰疽風成発厲浸厲　第九下　鍼灸甲乙経　皇甫謐_ページ_2.jpg</t>
  </si>
  <si>
    <t>よう　癰疽　0300　●寒気客於経絡之中発癰疽風成発厲浸厲　第九下　鍼灸甲乙経　皇甫謐_ページ_3.jpg</t>
  </si>
  <si>
    <t>よう　癰疽　0300　●寒気客於経絡之中発癰疽風成発厲浸厲　第九下　鍼灸甲乙経　皇甫謐_ページ_4.jpg</t>
  </si>
  <si>
    <t>よう　癰疽　0300　●寒気客於経絡之中発癰疽風成発厲浸厲　第九下　鍼灸甲乙経　皇甫謐_ページ_5.jpg</t>
  </si>
  <si>
    <t>よう　癰疽　0300　●寒気客於経絡之中発癰疽風成発厲浸淫　第九上　鍼灸甲乙経　皇甫謐_ページ_1.jpg</t>
  </si>
  <si>
    <t>よう　癰疽　0300　●寒気客於経絡之中発癰疽風成発厲浸淫　第九上　鍼灸甲乙経　皇甫謐_ページ_2.jpg</t>
  </si>
  <si>
    <t>よう　癰疽　1574　兪穴参伍的法　秦宗巴.jpg</t>
  </si>
  <si>
    <t>よう　癰疽　1686　鍼灸要法指南　岩田利斎.jpg</t>
  </si>
  <si>
    <t>よう　癰疽　1767　鍼灸則　菅沼周桂_ページ_1.jpg</t>
  </si>
  <si>
    <t>よう　癰疽　1767　鍼灸則　菅沼周桂_ページ_2.jpg</t>
  </si>
  <si>
    <t>よう　癰疽　1773　鍼灸手引草　大簡室主人_ページ_1.jpg</t>
  </si>
  <si>
    <t>よう　癰疽　1773　鍼灸手引草　大簡室主人_ページ_2.jpg</t>
  </si>
  <si>
    <t>よう　癰疽　悪瘡　1758　灸ぜつ塩土伝　三宅意安.jpg</t>
  </si>
  <si>
    <t>よう　癰疽腫毒疔　1792　鍼法要集　源長起_ページ_1.jpg</t>
  </si>
  <si>
    <t>よう　癰疽腫毒疔　1792　鍼法要集　源長起_ページ_2.jpg</t>
  </si>
  <si>
    <t>よう　癰疽腫毒疔　1792　鍼法要集　源長起_ページ_3.jpg</t>
  </si>
  <si>
    <t>よう　癰癇　1758　灸ぜつ塩土伝　三宅意安.jpg</t>
  </si>
  <si>
    <t>よう　発背癰疽初起未破灸法　1807　続名家灸選　平井庸信.jpg</t>
  </si>
  <si>
    <t>よう　腰　1669　鍼灸枢要　山本玄通_ページ_01.jpg</t>
  </si>
  <si>
    <t>よう　腰　1669　鍼灸枢要　山本玄通_ページ_02.jpg</t>
  </si>
  <si>
    <t>よう　腰　1669　鍼灸枢要　山本玄通_ページ_03.jpg</t>
  </si>
  <si>
    <t>よう　腰　1669　鍼灸枢要　山本玄通_ページ_04.jpg</t>
  </si>
  <si>
    <t>よう　腰　1669　鍼灸枢要　山本玄通_ページ_05.jpg</t>
  </si>
  <si>
    <t>よう　腰　1669　鍼灸枢要　山本玄通_ページ_06.jpg</t>
  </si>
  <si>
    <t>よう　腰　1669　鍼灸枢要　山本玄通_ページ_07.jpg</t>
  </si>
  <si>
    <t>よう　腰　1669　鍼灸枢要　山本玄通_ページ_08.jpg</t>
  </si>
  <si>
    <t>よう　腰　1669　鍼灸枢要　山本玄通_ページ_09.jpg</t>
  </si>
  <si>
    <t>よう　腰　1669　鍼灸枢要　山本玄通_ページ_10.jpg</t>
  </si>
  <si>
    <t>よう　腰　1800　鍼灸備要　小坂元祐_ページ_1.jpg</t>
  </si>
  <si>
    <t>よう　腰　1800　鍼灸備要　小坂元祐_ページ_2.jpg</t>
  </si>
  <si>
    <t>よう　腰　1800　鍼灸備要　小坂元祐_ページ_3.jpg</t>
  </si>
  <si>
    <t>よう　腰気　こしけ　1607　扁鵲新流鍼書　越齋寿閑_ページ_1.jpg</t>
  </si>
  <si>
    <t>よう　腰気　こしけ　1607　扁鵲新流鍼書　越齋寿閑_ページ_2.jpg</t>
  </si>
  <si>
    <t>よう　腰痛　1220　鍼灸資生経　王執中_ページ_1.jpg</t>
  </si>
  <si>
    <t>よう　腰痛　1220　鍼灸資生経　王執中_ページ_2.jpg</t>
  </si>
  <si>
    <t>よう　腰痛　1220　鍼灸資生経　王執中_ページ_3.jpg</t>
  </si>
  <si>
    <t>よう　腰痛　1537　鍼灸聚英　明・高武.jpg</t>
  </si>
  <si>
    <t>よう　腰痛　1563　鍼灸集要　曲直瀬道三.jpg</t>
  </si>
  <si>
    <t>よう　腰痛　1680　鍼灸抜萃　著者未詳.jpg</t>
  </si>
  <si>
    <t>よう　腰痛　1686　鍼灸要法指南　岩田利斎.jpg</t>
  </si>
  <si>
    <t>よう　腰痛　1693　鍼灸要歌集　安井昌玄_ページ_1.jpg</t>
  </si>
  <si>
    <t>よう　腰痛　1693　鍼灸要歌集　安井昌玄_ページ_2.jpg</t>
  </si>
  <si>
    <t>よう　腰痛　1693　鍼灸要歌集　安井昌玄_ページ_3.jpg</t>
  </si>
  <si>
    <t>よう　腰痛　1694　鍼灸そかい集　高津敬節.jpg</t>
  </si>
  <si>
    <t>よう　腰痛　1696　広益鍼灸抜萃　著者未詳_ページ_1.jpg</t>
  </si>
  <si>
    <t>よう　腰痛　1696　広益鍼灸抜萃　著者未詳_ページ_2.jpg</t>
  </si>
  <si>
    <t>よう　腰痛　1698　鍼灸抜粋大成　岡本一抱_ページ_1.jpg</t>
  </si>
  <si>
    <t>よう　腰痛　1698　鍼灸抜粋大成　岡本一抱_ページ_2.jpg</t>
  </si>
  <si>
    <t>よう　腰痛　1767　鍼灸則　菅沼周桂_ページ_1.jpg</t>
  </si>
  <si>
    <t>よう　腰痛　1767　鍼灸則　菅沼周桂_ページ_2.jpg</t>
  </si>
  <si>
    <t>よう　腰痛　1773　鍼灸手引草　大簡室主人.jpg</t>
  </si>
  <si>
    <t>よう　腰痛　1785　鍼書　本城義軒.jpg</t>
  </si>
  <si>
    <t>よう　腰痛　1792　鍼法要集　源長起_ページ_1.jpg</t>
  </si>
  <si>
    <t>よう　腰痛　1792　鍼法要集　源長起_ページ_2.jpg</t>
  </si>
  <si>
    <t>よう　腰痛　1807　続名家灸選　平井庸信_ページ_1.jpg</t>
  </si>
  <si>
    <t>よう　腰痛　1807　続名家灸選　平井庸信_ページ_2.jpg</t>
  </si>
  <si>
    <t>よう　腰痛　1813　名家灸選三編　平井庸信_ページ_1.jpg</t>
  </si>
  <si>
    <t>よう　腰痛　1813　名家灸選三編　平井庸信_ページ_2.jpg</t>
  </si>
  <si>
    <t>よう　腰痛　こしのいたみ　1718　鍼灸重宝記　本郷正豊_ページ_1.jpg</t>
  </si>
  <si>
    <t>よう　腰痛　こしのいたみ　1718　鍼灸重宝記　本郷正豊_ページ_2.jpg</t>
  </si>
  <si>
    <t>よう　腰痛　こしのいたみ　1780　鍼灸極秘伝　木村太沖.jpg</t>
  </si>
  <si>
    <t>よう　腰痛　こしのいたむ事　1694　療治之大概集　杉山和一.jpg</t>
  </si>
  <si>
    <t>よう　腰痛　こしのいたむ病　腰神経痛　1887（明治20）　鍼灸備要　青山道醇.jpg</t>
  </si>
  <si>
    <t>よう　腰痛　せんきのこしのいたみ　1780　鍼灸極秘伝　木村太沖.jpg</t>
  </si>
  <si>
    <t>よう　腰痛　成書年未詳　灸穴集　著者未詳_ページ_1.jpg</t>
  </si>
  <si>
    <t>よう　腰痛　成書年未詳　灸穴集　著者未詳_ページ_2.jpg</t>
  </si>
  <si>
    <t>よう　腰痛　成書年未詳　灸穴集　著者未詳_ページ_3.jpg</t>
  </si>
  <si>
    <t>よう　腰痛　成書年未詳　灸穴集　著者未詳_ページ_4.jpg</t>
  </si>
  <si>
    <t>よう　腰痛　成書年未詳　灸穴集　著者未詳_ページ_5.jpg</t>
  </si>
  <si>
    <t>よう　腰痛　成書年未詳　経穴図解　著者未詳.jpg</t>
  </si>
  <si>
    <t>よう　腰痛　玉機微義針灸証治　1537　鍼灸聚英　明・高武.jpg</t>
  </si>
  <si>
    <t>よう　腰痛筋攣秘灸　1594　経脈方寸秘書　曲直瀬道三.jpg</t>
  </si>
  <si>
    <t>よう　腰痛（婦人の部）　1773　鍼灸手引草　大簡室主人_ページ_1.jpg</t>
  </si>
  <si>
    <t>よう　腰痛（婦人の部）　1773　鍼灸手引草　大簡室主人_ページ_2.jpg</t>
  </si>
  <si>
    <t>よう　腰脇之病　1792　鍼法要集　源長起.jpg</t>
  </si>
  <si>
    <t>よう　腰脊強痛　1329　扁鵲神応鍼灸玉龍経　元・王国瑞_ページ_1.jpg</t>
  </si>
  <si>
    <t>よう　腰脊強痛　1329　扁鵲神応鍼灸玉龍経　元・王国瑞_ページ_2.jpg</t>
  </si>
  <si>
    <t>よう　腰脊病　0650　千金方　孫思ばく_ページ_1.jpg</t>
  </si>
  <si>
    <t>よう　腰脊病　0650　千金方　孫思ばく_ページ_2.jpg</t>
  </si>
  <si>
    <t>よう　腰脊痛　1220　鍼灸資生経　王執中_ページ_1.jpg</t>
  </si>
  <si>
    <t>よう　腰脊痛　1220　鍼灸資生経　王執中_ページ_2.jpg</t>
  </si>
  <si>
    <t>よう　腰脊痛　1574　兪穴参伍的法　秦宗巴.jpg</t>
  </si>
  <si>
    <t>よう　腰脚痛　1220　鍼灸資生経　王執中_ページ_1.jpg</t>
  </si>
  <si>
    <t>よう　腰脚痛　1220　鍼灸資生経　王執中_ページ_2.jpg</t>
  </si>
  <si>
    <t>よう　腰脚痛　1912年（大正01）　鍼灸手引草　久木田七郎.jpg</t>
  </si>
  <si>
    <t>よう　腰膝冷痺　1299　続添要穴集　惟宗時俊_ページ_1.jpg</t>
  </si>
  <si>
    <t>よう　腰膝冷痺　1299　続添要穴集　惟宗時俊_ページ_2.jpg</t>
  </si>
  <si>
    <t>よう　腰膝痛或脚気之針穴　1613　古今集鍼法　長生庵了味か_ページ_1.jpg</t>
  </si>
  <si>
    <t>よう　腰膝痛或脚気之針穴　1613　古今集鍼法　長生庵了味か_ページ_2.jpg</t>
  </si>
  <si>
    <t>よう　膺痛　1220　鍼灸資生経　王執中.jpg</t>
  </si>
  <si>
    <t>よう　蒜灸癰疽　1224　医説　宋・張杲_ページ_1.jpg</t>
  </si>
  <si>
    <t>よう　蒜灸癰疽　1224　医説　宋・張杲_ページ_2.jpg</t>
  </si>
  <si>
    <t>よう　陽不起　1624　類経図翼　明・張介賓_ページ_1.jpg</t>
  </si>
  <si>
    <t>よう　陽不起　1624　類経図翼　明・張介賓_ページ_2.jpg</t>
  </si>
  <si>
    <t>よう　面部一切瘡瘍　疔疽　1758　灸ぜつ塩土伝　三宅意安_ページ_1.jpg</t>
  </si>
  <si>
    <t>よう　面部一切瘡瘍　疔疽　1758　灸ぜつ塩土伝　三宅意安_ページ_2.jpg</t>
  </si>
  <si>
    <t>よう　面部一切瘡瘍　疔疽　1758　灸ぜつ塩土伝　三宅意安_ページ_3.jpg</t>
  </si>
  <si>
    <t>よう　養生之一本　1613　古今集鍼法　長生庵了味か.jpg</t>
  </si>
  <si>
    <t>よう　（腹脹腰痛引背少腹控睾）●腎小腸受痛発腹脹腰痛引背少腹控睾　第八　0300　鍼灸甲乙経　皇甫謐_ページ_1.jpg</t>
  </si>
  <si>
    <t>よう　（腹脹腰痛引背少腹控睾）●腎小腸受痛発腹脹腰痛引背少腹控睾　第八　0300　鍼灸甲乙経　皇甫謐_ページ_2.jpg</t>
  </si>
  <si>
    <t>よう　（腹脹腰痛引背少腹控睾）●腎小腸受痛発腹脹腰痛引背少腹控睾　第八　0300　鍼灸甲乙経　皇甫謐_ページ_3.jpg</t>
  </si>
  <si>
    <t>よう　（腹脹腰痛引背少腹控睾）●腎小腸受痛発腹脹腰痛引背少腹控睾　第八　0300　鍼灸甲乙経　皇甫謐_ページ_4.jpg</t>
  </si>
  <si>
    <t>よう　（腹脹腰痛引背少腹控睾）●腎小腸受痛発腹脹腰痛引背少腹控睾　第八　0300　鍼灸甲乙経　皇甫謐_ページ_5.jpg</t>
  </si>
  <si>
    <t>よく　欲取胎　1694　選鍼三要集　杉山和一.jpg</t>
  </si>
  <si>
    <t>よこ　横根　1607　扁鵲新流鍼書　越齋寿閑.jpg</t>
  </si>
  <si>
    <t>らい　癩　1537　鍼灸聚英　明・高武_ページ_1.jpg</t>
  </si>
  <si>
    <t>らい　癩　1537　鍼灸聚英　明・高武_ページ_2.jpg</t>
  </si>
  <si>
    <t>らい　癩　1574　兪穴参伍的法　秦宗巴_ページ_1.jpg</t>
  </si>
  <si>
    <t>らい　癩　1574　兪穴参伍的法　秦宗巴_ページ_2.jpg</t>
  </si>
  <si>
    <t>らい　癩　かたい　1686　鍼灸要法指南　岩田利斎_ページ_1.jpg</t>
  </si>
  <si>
    <t>らい　癩　かたい　1686　鍼灸要法指南　岩田利斎_ページ_2.jpg</t>
  </si>
  <si>
    <t>らい　癩病　さんびょう、かったいともいう　1780　鍼灸極秘伝　木村太沖.jpg</t>
  </si>
  <si>
    <t>らい　癩風　1563　鍼灸集要　曲直瀬道三.jpg</t>
  </si>
  <si>
    <t>らい　癩風　1698　鍼灸抜粋大成　岡本一抱.jpg</t>
  </si>
  <si>
    <t>らい　雷火神鍼　1807　続名家灸選　平井庸信_ページ_1.jpg</t>
  </si>
  <si>
    <t>らい　雷火神鍼　1807　続名家灸選　平井庸信_ページ_2.jpg</t>
  </si>
  <si>
    <t>らく　落架風　おとがいはずれ　1765　鍼法弁惑　藤井秀孟.jpg</t>
  </si>
  <si>
    <t>らん　燗眼風（らんかんふう）　ただきめ　眼瞼縁炎　1887（明治20）　鍼灸備要　青山道醇.jpg</t>
  </si>
  <si>
    <t>り　痢　1220　鍼灸資生経　王執中_ページ_1.jpg</t>
  </si>
  <si>
    <t>り　痢　1220　鍼灸資生経　王執中_ページ_2.jpg</t>
  </si>
  <si>
    <t>り　痢　1220　鍼灸資生経　王執中_ページ_3.jpg</t>
  </si>
  <si>
    <t>り　痢　1563　鍼灸集要　曲直瀬道三.jpg</t>
  </si>
  <si>
    <t>り　痢　1679　鍼法奇貨　渡辺東伯_ページ_1.jpg</t>
  </si>
  <si>
    <t>り　痢　1679　鍼法奇貨　渡辺東伯_ページ_2.jpg</t>
  </si>
  <si>
    <t>り　痢　1679　鍼法奇貨　渡辺東伯_ページ_3.jpg</t>
  </si>
  <si>
    <t>り　痢　1679　鍼法奇貨　渡辺東伯_ページ_4.jpg</t>
  </si>
  <si>
    <t>り　痢　1679　鍼法奇貨　渡辺東伯_ページ_5.jpg</t>
  </si>
  <si>
    <t>り　痢　1694　鍼灸そかい集　高津敬節.jpg</t>
  </si>
  <si>
    <t>り　痢　1794　杉山流鍼術　島浦和田一.jpg</t>
  </si>
  <si>
    <t>り　痢帯赤白　1694　選鍼三要集　杉山和一.jpg</t>
  </si>
  <si>
    <t>り　痢疾　1669　鍼灸枢要　山本玄通_ページ_1.jpg</t>
  </si>
  <si>
    <t>り　痢疾　1669　鍼灸枢要　山本玄通_ページ_2.jpg</t>
  </si>
  <si>
    <t>り　痢疾　1669　鍼灸枢要　山本玄通_ページ_3.jpg</t>
  </si>
  <si>
    <t>り　痢疾　1669　鍼灸枢要　山本玄通_ページ_4.jpg</t>
  </si>
  <si>
    <t>り　痢疾　1669　鍼灸枢要　山本玄通_ページ_5.jpg</t>
  </si>
  <si>
    <t>り　痢疾　1669　鍼灸枢要　山本玄通_ページ_6.jpg</t>
  </si>
  <si>
    <t>り　痢疾　1758　灸ぜつ塩土伝　三宅意安_ページ_1.jpg</t>
  </si>
  <si>
    <t>り　痢疾　1758　灸ぜつ塩土伝　三宅意安_ページ_2.jpg</t>
  </si>
  <si>
    <t>り　痢疾　1800　鍼灸備要　小坂元祐_ページ_1.jpg</t>
  </si>
  <si>
    <t>り　痢疾　1800　鍼灸備要　小坂元祐_ページ_2.jpg</t>
  </si>
  <si>
    <t>り　痢疾　1800　鍼灸備要　小坂元祐_ページ_3.jpg</t>
  </si>
  <si>
    <t>り　痢疾　成書年未詳　灸穴集　著者未詳_ページ_1.jpg</t>
  </si>
  <si>
    <t>り　痢疾　成書年未詳　灸穴集　著者未詳_ページ_2.jpg</t>
  </si>
  <si>
    <t>り　痢疾　成書年未詳　灸穴集　著者未詳_ページ_3.jpg</t>
  </si>
  <si>
    <t>り　痢疾　成書年未詳　灸穴集　著者未詳_ページ_4.jpg</t>
  </si>
  <si>
    <t>り　痢疾并脱肛又下血　成書年未詳　灸穴集　著者未詳.jpg</t>
  </si>
  <si>
    <t>り　痢病　1613　古今集鍼法　長生庵了味か.jpg</t>
  </si>
  <si>
    <t>り　痢病　1680　鍼灸抜萃　著者未詳.jpg</t>
  </si>
  <si>
    <t>り　痢病　1693　鍼灸要歌集　安井昌玄_ページ_1.jpg</t>
  </si>
  <si>
    <t>り　痢病　1693　鍼灸要歌集　安井昌玄_ページ_2.jpg</t>
  </si>
  <si>
    <t>り　痢病　1693　鍼灸要歌集　安井昌玄_ページ_3.jpg</t>
  </si>
  <si>
    <t>り　痢病　1696　広益鍼灸抜萃　著者未詳_ページ_1.jpg</t>
  </si>
  <si>
    <t>り　痢病　1696　広益鍼灸抜萃　著者未詳_ページ_2.jpg</t>
  </si>
  <si>
    <t>り　痢病　1698　鍼灸抜粋大成　岡本一抱.jpg</t>
  </si>
  <si>
    <t>り　痢病　1767　鍼灸則　菅沼周桂_ページ_1.jpg</t>
  </si>
  <si>
    <t>り　痢病　1767　鍼灸則　菅沼周桂_ページ_2.jpg</t>
  </si>
  <si>
    <t>り　痢病　1773　鍼灸手引草　大簡室主人_ページ_1.jpg</t>
  </si>
  <si>
    <t>り　痢病　1773　鍼灸手引草　大簡室主人_ページ_2.jpg</t>
  </si>
  <si>
    <t>り　痢病　1785　鍼書　本城義軒_ページ_1.jpg</t>
  </si>
  <si>
    <t>り　痢病　1785　鍼書　本城義軒_ページ_2.jpg</t>
  </si>
  <si>
    <t>り　痢病　1792　鍼法要集　源長起_ページ_1.jpg</t>
  </si>
  <si>
    <t>り　痢病　1792　鍼法要集　源長起_ページ_2.jpg</t>
  </si>
  <si>
    <t>り　痢病　1792　鍼法要集　源長起_ページ_3.jpg</t>
  </si>
  <si>
    <t>り　痢病　しぶりはら　1718　鍼灸重宝記　本郷正豊.jpg</t>
  </si>
  <si>
    <t>り　痢病　しぶり腹の事　1694　療治之大概集　杉山和一.jpg</t>
  </si>
  <si>
    <t>り　痢病　成書年未詳　経穴図解　著者未詳.jpg</t>
  </si>
  <si>
    <t>り　痢病　赤なめ、白なめ、しぶりはら　1780　鍼灸極秘伝　木村太沖.jpg</t>
  </si>
  <si>
    <t>り　痢病・脱肛・五痔・下血　しぶりはら、でぢ、すべてのぢ、はしりぢ　1780　鍼灸極秘伝　木村太沖.jpg</t>
  </si>
  <si>
    <t>り　痢病（りびやう）　赤痢をちぐそと云、白痢をなめと云　赤痢、又、痢疾　1887（明治20）　鍼灸備要　青山道醇.jpg</t>
  </si>
  <si>
    <t>り　裏急後重　しぶりはらいきみても通ぜぬ人　1780　鍼灸極秘伝　木村太沖.jpg</t>
  </si>
  <si>
    <t>りゅう　留飲　1800　岡田流鍼術書　岡田見龍_ページ_1.jpg</t>
  </si>
  <si>
    <t>りゅう　留飲　1800　岡田流鍼術書　岡田見龍_ページ_2.jpg</t>
  </si>
  <si>
    <t>りん　淋　1537　鍼灸聚英　明・高武.jpg</t>
  </si>
  <si>
    <t>りん　淋　1624　五淋　類経図翼　明・張介賓.jpg</t>
  </si>
  <si>
    <t>りん　淋　1694　五淋　選鍼三要集　杉山和一.jpg</t>
  </si>
  <si>
    <t>りん　淋　1800　五淋　鍼灸備要　小坂元祐_ページ_1.jpg</t>
  </si>
  <si>
    <t>りん　淋　1800　五淋　鍼灸備要　小坂元祐_ページ_2.jpg</t>
  </si>
  <si>
    <t>りん　淋　1800　五淋　鍼灸備要　小坂元祐_ページ_3.jpg</t>
  </si>
  <si>
    <t>りん　淋　1800　五淋　鍼灸備要　小坂元祐_ページ_4.jpg</t>
  </si>
  <si>
    <t>りん　淋りゅう　1220　鍼灸資生経　王執中_ページ_1.jpg</t>
  </si>
  <si>
    <t>りん　淋りゅう　1220　鍼灸資生経　王執中_ページ_2.jpg</t>
  </si>
  <si>
    <t>りん　淋りゅう　1912年（大正01）　鍼灸手引草　久木田七郎.jpg</t>
  </si>
  <si>
    <t>りん　淋疾　1813　名家灸選　浅井惟亨_ページ_1.jpg</t>
  </si>
  <si>
    <t>りん　淋疾　1813　名家灸選　浅井惟亨_ページ_2.jpg</t>
  </si>
  <si>
    <t>りん　淋疾　1813　名家灸選三編　平井庸信_ページ_1.jpg</t>
  </si>
  <si>
    <t>りん　淋疾　1813　名家灸選三編　平井庸信_ページ_2.jpg</t>
  </si>
  <si>
    <t>りん　淋疾　成書年未詳　灸穴集　著者未詳.jpg</t>
  </si>
  <si>
    <t>りん　淋病　1563　鍼灸集要　曲直瀬道三.jpg</t>
  </si>
  <si>
    <t>りん　淋病　1680　鍼灸抜萃　著者未詳.jpg</t>
  </si>
  <si>
    <t>りん　淋病　1693　鍼灸要歌集　安井昌玄_ページ_1.jpg</t>
  </si>
  <si>
    <t>りん　淋病　1693　鍼灸要歌集　安井昌玄_ページ_2.jpg</t>
  </si>
  <si>
    <t>りん　淋病　1693　鍼灸要歌集　安井昌玄_ページ_3.jpg</t>
  </si>
  <si>
    <t>りん　淋病　1694　療治之大概集　杉山和一.jpg</t>
  </si>
  <si>
    <t>りん　淋病　1694　鍼灸そかい集　高津敬節.jpg</t>
  </si>
  <si>
    <t>りん　淋病　1696　広益鍼灸抜萃　著者未詳_ページ_1.jpg</t>
  </si>
  <si>
    <t>りん　淋病　1696　広益鍼灸抜萃　著者未詳_ページ_2.jpg</t>
  </si>
  <si>
    <t>りん　淋病　1698　鍼灸抜粋大成　岡本一抱_ページ_1.jpg</t>
  </si>
  <si>
    <t>りん　淋病　1698　鍼灸抜粋大成　岡本一抱_ページ_2.jpg</t>
  </si>
  <si>
    <t>りん　淋病　1767　鍼灸則　菅沼周桂_ページ_1.jpg</t>
  </si>
  <si>
    <t>りん　淋病　1767　鍼灸則　菅沼周桂_ページ_2.jpg</t>
  </si>
  <si>
    <t>りん　淋病　1773　鍼灸手引草　大簡室主人_ページ_1.jpg</t>
  </si>
  <si>
    <t>りん　淋病　1773　鍼灸手引草　大簡室主人_ページ_2.jpg</t>
  </si>
  <si>
    <t>りん　淋病　1773　鍼灸手引草　大簡室主人_ページ_3.jpg</t>
  </si>
  <si>
    <t>りん　淋病　1785　鍼書　本城義軒.jpg</t>
  </si>
  <si>
    <t>りん　淋病　1792　鍼法要集　源長起_ページ_1.jpg</t>
  </si>
  <si>
    <t>りん　淋病　1792　鍼法要集　源長起_ページ_2.jpg</t>
  </si>
  <si>
    <t>りん　淋病　1800　岡田流鍼術書　岡田見龍_ページ_1.jpg</t>
  </si>
  <si>
    <t>りん　淋病　1800　岡田流鍼術書　岡田見龍_ページ_2.jpg</t>
  </si>
  <si>
    <t>りん　淋病　しはゆばり、又、りんひやう　淋疾、又、淋　1887（明治20）　鍼灸備要　青山道醇.jpg</t>
  </si>
  <si>
    <t>りん　淋病　りんびょう　1780　鍼灸極秘伝　木村太沖.jpg</t>
  </si>
  <si>
    <t>りん　淋病　小便閉　1718　鍼灸重宝記　本郷正豊_ページ_1.jpg</t>
  </si>
  <si>
    <t>りん　淋病　小便閉　1718　鍼灸重宝記　本郷正豊_ページ_2.jpg</t>
  </si>
  <si>
    <t>りん　淋病之治穴　1613　古今集鍼法　長生庵了味か.jpg</t>
  </si>
  <si>
    <t>りん　淋証　1686　鍼灸要法指南　岩田利斎.jpg</t>
  </si>
  <si>
    <t>りん　淋閉　玉機微義針灸証治　1537　鍼灸聚英　明・高武_ページ_1.jpg</t>
  </si>
  <si>
    <t>りん　淋閉　玉機微義針灸証治　1537　鍼灸聚英　明・高武_ページ_2.jpg</t>
  </si>
  <si>
    <t>りん　諸々の淋病　1607　扁鵲新流鍼書　越齋寿閑.jpg</t>
  </si>
  <si>
    <t>りん　諸淋　1679　鍼法奇貨　渡辺東伯_ページ_1.jpg</t>
  </si>
  <si>
    <t>りん　諸淋　1679　鍼法奇貨　渡辺東伯_ページ_2.jpg</t>
  </si>
  <si>
    <t>りん　諸淋　1679　鍼法奇貨　渡辺東伯_ページ_3.jpg</t>
  </si>
  <si>
    <t>りん　諸淋　1679　鍼法奇貨　渡辺東伯_ページ_4.jpg</t>
  </si>
  <si>
    <t>りん　諸淋　1679　鍼法奇貨　渡辺東伯_ページ_5.jpg</t>
  </si>
  <si>
    <t>りん　諸淋　1679　鍼法奇貨　渡辺東伯_ページ_6.jpg</t>
  </si>
  <si>
    <t>りん　諸淋　1794　杉山流鍼術　島浦和田一.jpg</t>
  </si>
  <si>
    <t>るい　涙出不止　1765　鍼法弁惑　藤井秀孟.jpg</t>
  </si>
  <si>
    <t>るい　瘰れき　1220　鍼灸資生経　王執中_ページ_1.jpg</t>
  </si>
  <si>
    <t>るい　瘰れき　1220　鍼灸資生経　王執中_ページ_2.jpg</t>
  </si>
  <si>
    <t>るい　瘰癧　1329　扁鵲神応鍼灸玉龍経　元・王国瑞_ページ_1.jpg</t>
  </si>
  <si>
    <t>るい　瘰癧　1329　扁鵲神応鍼灸玉龍経　元・王国瑞_ページ_2.jpg</t>
  </si>
  <si>
    <t>るい　瘰癧　1563　鍼灸集要　曲直瀬道三.jpg</t>
  </si>
  <si>
    <t>るい　瘰癧　1765　鍼法弁惑　藤井秀孟_ページ_1.jpg</t>
  </si>
  <si>
    <t>るい　瘰癧　1765　鍼法弁惑　藤井秀孟_ページ_2.jpg</t>
  </si>
  <si>
    <t>るい　瘰癧　1773　鍼灸手引草　大簡室主人.jpg</t>
  </si>
  <si>
    <t>るい　瘰癧　1807　続名家灸選　平井庸信.jpg</t>
  </si>
  <si>
    <t>るい　瘰癧　1813　名家灸選　浅井惟亨_ページ_1.jpg</t>
  </si>
  <si>
    <t>るい　瘰癧　1813　名家灸選　浅井惟亨_ページ_2.jpg</t>
  </si>
  <si>
    <t>るい　瘰癧　1813　名家灸選三編　平井庸信_ページ_1.jpg</t>
  </si>
  <si>
    <t>るい　瘰癧　1813　名家灸選三編　平井庸信_ページ_2.jpg</t>
  </si>
  <si>
    <t>るい　瘰癧　1813　名家灸選三編　平井庸信_ページ_3.jpg</t>
  </si>
  <si>
    <t>るい　瘰癧　成書年未詳　灸穴集　著者未詳.jpg</t>
  </si>
  <si>
    <t>るい　瘰癧　癩風　1792　鍼法要集　源長起_ページ_1.jpg</t>
  </si>
  <si>
    <t>るい　瘰癧　癩風　1792　鍼法要集　源長起_ページ_2.jpg</t>
  </si>
  <si>
    <t>るい　瘰癧　癰疽　1758　灸ぜつ塩土伝　三宅意安_ページ_1.jpg</t>
  </si>
  <si>
    <t>るい　瘰癧　癰疽　1758　灸ぜつ塩土伝　三宅意安_ページ_2.jpg</t>
  </si>
  <si>
    <t>るい　瘰癧　癰疽　1758　灸ぜつ塩土伝　三宅意安_ページ_3.jpg</t>
  </si>
  <si>
    <t>るい　瘰癧　癰疽　1758　灸ぜつ塩土伝　三宅意安_ページ_4.jpg</t>
  </si>
  <si>
    <t>るい　瘰癧　馬刀瘡　1686　鍼灸要法指南　岩田利斎.jpg</t>
  </si>
  <si>
    <t>れい　癘風　1607　扁鵲新流鍼書　越齋寿閑.jpg</t>
  </si>
  <si>
    <t>れい　癘風　玉機微義針灸証治　1537　鍼灸聚英　明・高武_ページ_1.jpg</t>
  </si>
  <si>
    <t>れい　癘風　玉機微義針灸証治　1537　鍼灸聚英　明・高武_ページ_2.jpg</t>
  </si>
  <si>
    <t>れい　癘風・癩風・大麻風　皆かつたい也　1718　鍼灸重宝記　本郷正豊.jpg</t>
  </si>
  <si>
    <t>れき　歴節風　1220　鍼灸資生経　王執中_ページ_1.jpg</t>
  </si>
  <si>
    <t>れき　歴節風　1220　鍼灸資生経　王執中_ページ_2.jpg</t>
  </si>
  <si>
    <t>れき　歴節風　1299　続添要穴集　惟宗時俊.jpg</t>
  </si>
  <si>
    <t>れん　れん瘡　1686　鍼灸要法指南　岩田利斎.jpg</t>
  </si>
  <si>
    <t>れん　攣　1669　鍼灸枢要　山本玄通_ページ_1.jpg</t>
  </si>
  <si>
    <t>れん　攣　1669　鍼灸枢要　山本玄通_ページ_2.jpg</t>
  </si>
  <si>
    <t>れん　攣　1669　鍼灸枢要　山本玄通_ページ_3.jpg</t>
  </si>
  <si>
    <t>れん　攣　1669　鍼灸枢要　山本玄通_ページ_4.jpg</t>
  </si>
  <si>
    <t>れん　攣　1800　鍼灸備要　小坂元祐.jpg</t>
  </si>
  <si>
    <t>れん　蓮根瘡　成書年未詳　灸穴集　著者未詳.jpg</t>
  </si>
  <si>
    <t>れん　蓮根瘡　成書年未詳　灸穴集　著者未詳_ページ_1.jpg</t>
  </si>
  <si>
    <t>れん　蓮根瘡　成書年未詳　灸穴集　著者未詳_ページ_2.jpg</t>
  </si>
  <si>
    <t>ろう　労さい　1220　鍼灸資生経　王執中_ページ_1.jpg</t>
  </si>
  <si>
    <t>ろう　労さい　1220　鍼灸資生経　王執中_ページ_2.jpg</t>
  </si>
  <si>
    <t>ろう　労さい　1563　（癆さい）　鍼灸集要　曲直瀬道三.jpg</t>
  </si>
  <si>
    <t>ろう　労さい　1574　兪穴参伍的法　秦宗巴.jpg</t>
  </si>
  <si>
    <t>ろう　労さい　1594　経脈方寸秘書　曲直瀬道三.jpg</t>
  </si>
  <si>
    <t>ろう　労さい　1607　癆さい　扁鵲新流鍼書　越齋寿閑_ページ_1.jpg</t>
  </si>
  <si>
    <t>ろう　労さい　1607　癆さい　扁鵲新流鍼書　越齋寿閑_ページ_2.jpg</t>
  </si>
  <si>
    <t>ろう　労さい　1680　癆さい　鍼灸抜萃　著者未詳.jpg</t>
  </si>
  <si>
    <t>ろう　労さい　1693　鍼灸要歌集　安井昌玄_ページ_1.jpg</t>
  </si>
  <si>
    <t>ろう　労さい　1693　鍼灸要歌集　安井昌玄_ページ_2.jpg</t>
  </si>
  <si>
    <t>ろう　労さい　1693　鍼灸要歌集　安井昌玄_ページ_3.jpg</t>
  </si>
  <si>
    <t>ろう　労さい　1694　癆さい　身弱き人　療治之大概集　杉山和一.jpg</t>
  </si>
  <si>
    <t>ろう　労さい　1696　癆さい　広益鍼灸抜萃　著者未詳_ページ_1.jpg</t>
  </si>
  <si>
    <t>ろう　労さい　1696　癆さい　広益鍼灸抜萃　著者未詳_ページ_2.jpg</t>
  </si>
  <si>
    <t>ろう　労さい　1696　癆さい　広益鍼灸抜萃　著者未詳_ページ_3.jpg</t>
  </si>
  <si>
    <t>ろう　労さい　1718　癆さい　きのかた　鍼灸重宝記　本郷正豊_ページ_1.jpg</t>
  </si>
  <si>
    <t>ろう　労さい　1718　癆さい　きのかた　鍼灸重宝記　本郷正豊_ページ_2.jpg</t>
  </si>
  <si>
    <t>ろう　労さい　1773　鍼灸手引草　大簡室主人_ページ_1.jpg</t>
  </si>
  <si>
    <t>ろう　労さい　1773　鍼灸手引草　大簡室主人_ページ_2.jpg</t>
  </si>
  <si>
    <t>ろう　労さい　1792　鍼法要集　源長起_ページ_1.jpg</t>
  </si>
  <si>
    <t>ろう　労さい　1792　鍼法要集　源長起_ページ_2.jpg</t>
  </si>
  <si>
    <t>ろう　労さい　1792　鍼法要集　源長起_ページ_3.jpg</t>
  </si>
  <si>
    <t>ろう　労さい　1807　労擦　虚労　続名家灸選　平井庸信_ページ_1.jpg</t>
  </si>
  <si>
    <t>ろう　労さい　1807　労擦　虚労　続名家灸選　平井庸信_ページ_2.jpg</t>
  </si>
  <si>
    <t>ろう　労さい　1807　労擦　虚労　続名家灸選　平井庸信_ページ_3.jpg</t>
  </si>
  <si>
    <t>ろう　労さい　1807　労擦　虚労　続名家灸選　平井庸信_ページ_4.jpg</t>
  </si>
  <si>
    <t>ろう　労さい　1813　癆さい　名家灸選　浅井惟亨_ページ_1.jpg</t>
  </si>
  <si>
    <t>ろう　労さい　1813　癆さい　名家灸選　浅井惟亨_ページ_2.jpg</t>
  </si>
  <si>
    <t>ろう　労さい　1912年（大正01）　鍼灸手引草　久木田七郎_ページ_1.jpg</t>
  </si>
  <si>
    <t>ろう　労さい　1912年（大正01）　鍼灸手引草　久木田七郎_ページ_2.jpg</t>
  </si>
  <si>
    <t>ろう　労さい　らうしゆう　肺労　1887（明治20）　鍼灸備要　青山道醇_ページ_1.jpg</t>
  </si>
  <si>
    <t>ろう　労さい　らうしゆう　肺労　1887（明治20）　鍼灸備要　青山道醇_ページ_2.jpg</t>
  </si>
  <si>
    <t>ろう　労さい　癆さい　成書年未詳　灸穴集　著者未詳_ページ_1.jpg</t>
  </si>
  <si>
    <t>ろう　労さい　癆さい　成書年未詳　灸穴集　著者未詳_ページ_2.jpg</t>
  </si>
  <si>
    <t>ろう　労さい　癆さい　成書年未詳　灸穴集　著者未詳_ページ_3.jpg</t>
  </si>
  <si>
    <t>ろう　労さい　癆さい　成書年未詳　灸穴集　著者未詳_ページ_4.jpg</t>
  </si>
  <si>
    <t>ろう　労さい　癆さい　成書年未詳　経穴図解　著者未詳.jpg</t>
  </si>
  <si>
    <t>ろう　労極　1767　鍼灸則　菅沼周桂.jpg</t>
  </si>
  <si>
    <t>ろう　労穴　1703　鍼灸阿是要穴　岡本一抱_ページ_1.jpg</t>
  </si>
  <si>
    <t>ろう　労穴　1703　鍼灸阿是要穴　岡本一抱_ページ_2.jpg</t>
  </si>
  <si>
    <t>ろう　労証　1329　扁鵲神応鍼灸玉龍経　元・王国瑞_ページ_1.jpg</t>
  </si>
  <si>
    <t>ろう　労証　1329　扁鵲神応鍼灸玉龍経　元・王国瑞_ページ_2.jpg</t>
  </si>
  <si>
    <t>ろう　聾癧　1329　扁鵲神応鍼灸玉龍経　元・王国瑞.jpg</t>
  </si>
  <si>
    <t>わん　腕労　1220　鍼灸資生経　王執中.jpg</t>
  </si>
  <si>
    <t>わん　腕痛　うでのいたみ　1780　鍼灸極秘伝　木村太沖.jpg</t>
  </si>
  <si>
    <t>ファイル名</t>
    <rPh sb="4" eb="5">
      <t>メイ</t>
    </rPh>
    <phoneticPr fontId="1"/>
  </si>
  <si>
    <t>けん　肩痛　1767　鍼灸則　菅沼周桂.jpg</t>
    <phoneticPr fontId="1"/>
  </si>
  <si>
    <t>き　亀背　1693　鍼灸要歌集　安井昌玄_ページ_2.jpg</t>
    <phoneticPr fontId="1"/>
  </si>
  <si>
    <t>き　亀背　1813　名家灸選三編　平井庸信.jpg</t>
    <phoneticPr fontId="1"/>
  </si>
  <si>
    <t>すん　寸白　1607　扁鵲新流鍼書　越齋寿閑.jpg</t>
    <phoneticPr fontId="1"/>
  </si>
  <si>
    <t>いつ　いつ逆　1574　兪穴参伍的法　秦宗巴.jpg</t>
  </si>
  <si>
    <t>いつ　いつ逆　1669　鍼灸枢要　山本玄通_ページ_1.jpg</t>
  </si>
  <si>
    <t>いつ　いつ逆　1669　鍼灸枢要　山本玄通_ページ_2.jpg</t>
  </si>
  <si>
    <t>いつ　いつ逆　1669　鍼灸枢要　山本玄通_ページ_3.jpg</t>
  </si>
  <si>
    <t>いつ　いつ逆　1669　鍼灸枢要　山本玄通_ページ_4.jpg</t>
  </si>
  <si>
    <t>いつ　いつ逆　1679　鍼法奇貨　渡辺東伯_ページ_1.jpg</t>
  </si>
  <si>
    <t>いつ　いつ逆　1679　鍼法奇貨　渡辺東伯_ページ_2.jpg</t>
  </si>
  <si>
    <t>いつ　いつ逆　1686　咳逆　しゃくり　鍼灸要法指南　岩田利斎.jpg</t>
  </si>
  <si>
    <t>いつ　いつ逆　1794　杉山流鍼術　島浦和田一_ページ_1.jpg</t>
  </si>
  <si>
    <t>いつ　いつ逆　1794　杉山流鍼術　島浦和田一_ページ_2.jpg</t>
  </si>
  <si>
    <t>いつ　いつ逆　1800　鍼灸備要　小坂元祐_ページ_1.jpg</t>
  </si>
  <si>
    <t>いつ　いつ逆　1800　鍼灸備要　小坂元祐_ページ_2.jpg</t>
  </si>
  <si>
    <t>いつ　いつ逆　成書年未詳　灸穴集　著者未詳.jpg</t>
  </si>
  <si>
    <t>い　遺溺　1792　鍼法要集　源長起_ページ_2.jpg</t>
    <phoneticPr fontId="1"/>
  </si>
  <si>
    <t>かく　膈　1694　選鍼三要集　杉山和一.jpg</t>
    <phoneticPr fontId="1"/>
  </si>
  <si>
    <t>こう　喉痺　1694　選鍼三要集　杉山和一.jpg</t>
    <phoneticPr fontId="1"/>
  </si>
  <si>
    <t>さん　産難横生　1694　選鍼三要集　杉山和一_ページ_2.jpg</t>
    <phoneticPr fontId="1"/>
  </si>
  <si>
    <t>しつ　膝痛（余見脚膝）　1220　鍼灸資生経　王執中_ページ_1.jpg</t>
    <phoneticPr fontId="1"/>
  </si>
  <si>
    <t>しゃ　瀉痢　1761　挨穴捷径　杉原敦_ページ_2.jpg</t>
    <phoneticPr fontId="1"/>
  </si>
  <si>
    <t>しゃく　積聚　ちょうか　1807　続名家灸選　平井庸信_ページ_1.jpg</t>
    <phoneticPr fontId="1"/>
  </si>
  <si>
    <t>しん　心腹　脹満　痞気　積聚　1813　名家灸選三編　平井庸信_ページ_2.jpg</t>
    <phoneticPr fontId="1"/>
  </si>
  <si>
    <t>1698　鍼灸抜粋大成　岡本一抱</t>
  </si>
  <si>
    <t>1694　鍼灸そかい集　高津敬節</t>
  </si>
  <si>
    <t>1718　鍼灸重宝記　本郷正豊</t>
  </si>
  <si>
    <t>1767　鍼灸則　菅沼周桂</t>
  </si>
  <si>
    <t>1773　鍼灸手引草　大簡室主人</t>
  </si>
  <si>
    <t>1686　鍼灸要法指南　岩田利斎</t>
  </si>
  <si>
    <t>1794　杉山流鍼術　島浦和田一</t>
  </si>
  <si>
    <t>1669　鍼灸枢要　山本玄通</t>
  </si>
  <si>
    <t>1800　鍼灸備要　小坂元祐</t>
  </si>
  <si>
    <t>百会　前頂　承漿　通里　内関　然谷　解渓　魚際　少商　顖会</t>
  </si>
  <si>
    <t>灸/鳩尾　上脘　陰都　陽渓　解渓</t>
    <phoneticPr fontId="1"/>
  </si>
  <si>
    <t>灸/神門　三里</t>
    <phoneticPr fontId="1"/>
  </si>
  <si>
    <t>少衝　三里　大陵　膈兪</t>
    <phoneticPr fontId="1"/>
  </si>
  <si>
    <r>
      <t>※灸/</t>
    </r>
    <r>
      <rPr>
        <sz val="11"/>
        <color rgb="FFFF0000"/>
        <rFont val="ＭＳ Ｐゴシック"/>
        <family val="3"/>
        <charset val="128"/>
        <scheme val="minor"/>
      </rPr>
      <t>膈兪</t>
    </r>
    <r>
      <rPr>
        <sz val="11"/>
        <color theme="1"/>
        <rFont val="ＭＳ Ｐゴシック"/>
        <family val="2"/>
        <scheme val="minor"/>
      </rPr>
      <t>　肝兪　肺兪　脾兪　腎兪　鍼/神門　</t>
    </r>
    <r>
      <rPr>
        <sz val="11"/>
        <color rgb="FFFF0000"/>
        <rFont val="ＭＳ Ｐゴシック"/>
        <family val="3"/>
        <charset val="128"/>
        <scheme val="minor"/>
      </rPr>
      <t>大陵</t>
    </r>
    <r>
      <rPr>
        <sz val="11"/>
        <color theme="1"/>
        <rFont val="ＭＳ Ｐゴシック"/>
        <family val="2"/>
        <scheme val="minor"/>
      </rPr>
      <t>　巨闕　上脘　</t>
    </r>
    <r>
      <rPr>
        <sz val="11"/>
        <color rgb="FFFF0000"/>
        <rFont val="ＭＳ Ｐゴシック"/>
        <family val="3"/>
        <charset val="128"/>
        <scheme val="minor"/>
      </rPr>
      <t>三里</t>
    </r>
    <r>
      <rPr>
        <sz val="11"/>
        <color theme="1"/>
        <rFont val="ＭＳ Ｐゴシック"/>
        <family val="2"/>
        <scheme val="minor"/>
      </rPr>
      <t>（健忘・せいちゅう・驚悸）</t>
    </r>
    <phoneticPr fontId="1"/>
  </si>
  <si>
    <t>【怔忡】比較</t>
    <rPh sb="1" eb="3">
      <t>セイチュウ</t>
    </rPh>
    <rPh sb="4" eb="6">
      <t>ヒカク</t>
    </rPh>
    <phoneticPr fontId="1"/>
  </si>
  <si>
    <t>○鍼灸五蘊抄(刊本)　田中知箴</t>
  </si>
  <si>
    <t>○灸治要穴記(写本)　著者未詳</t>
  </si>
  <si>
    <t>○端座流秘伝書(写本)　著者未詳</t>
  </si>
  <si>
    <t>○蔵珍要編(油印本)　松又溪</t>
  </si>
  <si>
    <t>○針方六集(刊本)　明・呉崑</t>
  </si>
  <si>
    <t>○饗庭家秘説〔抄〕(写本)　津田玄仙</t>
  </si>
  <si>
    <t>○霊枢九鍼論(写本)　著者未詳</t>
  </si>
  <si>
    <t>○鍼灸秘書(写本)　著者未詳</t>
  </si>
  <si>
    <t>○鍼灸要穴(写本)　小高氏 伝　岡西巌 編</t>
  </si>
  <si>
    <t>神門　三里</t>
    <phoneticPr fontId="1"/>
  </si>
  <si>
    <r>
      <t>※</t>
    </r>
    <r>
      <rPr>
        <sz val="11"/>
        <color rgb="FFFF0000"/>
        <rFont val="ＭＳ Ｐゴシック"/>
        <family val="3"/>
        <charset val="128"/>
        <scheme val="minor"/>
      </rPr>
      <t>膈兪</t>
    </r>
    <r>
      <rPr>
        <sz val="11"/>
        <color theme="1"/>
        <rFont val="ＭＳ Ｐゴシック"/>
        <family val="2"/>
        <scheme val="minor"/>
      </rPr>
      <t>　肝兪　肺兪　脾兪　腎兪　</t>
    </r>
    <r>
      <rPr>
        <sz val="11"/>
        <color rgb="FFFF0000"/>
        <rFont val="ＭＳ Ｐゴシック"/>
        <family val="3"/>
        <charset val="128"/>
        <scheme val="minor"/>
      </rPr>
      <t>三里</t>
    </r>
    <r>
      <rPr>
        <sz val="11"/>
        <color theme="1"/>
        <rFont val="ＭＳ Ｐゴシック"/>
        <family val="2"/>
        <scheme val="minor"/>
      </rPr>
      <t>（健忘・せいちゅう・驚悸）</t>
    </r>
    <phoneticPr fontId="1"/>
  </si>
  <si>
    <t>神門　三里　○神門　魚際　三里　</t>
    <rPh sb="7" eb="9">
      <t>ゴウド</t>
    </rPh>
    <rPh sb="10" eb="11">
      <t>サカナ</t>
    </rPh>
    <rPh sb="11" eb="12">
      <t>サイ</t>
    </rPh>
    <rPh sb="13" eb="15">
      <t>ミサト</t>
    </rPh>
    <phoneticPr fontId="1"/>
  </si>
  <si>
    <t>魚際　神門　三里　○巨闕　天井　心兪</t>
    <rPh sb="0" eb="1">
      <t>サカナ</t>
    </rPh>
    <rPh sb="1" eb="2">
      <t>サイ</t>
    </rPh>
    <rPh sb="3" eb="5">
      <t>ゴウド</t>
    </rPh>
    <rPh sb="6" eb="8">
      <t>サンリ</t>
    </rPh>
    <rPh sb="10" eb="12">
      <t>コケツ</t>
    </rPh>
    <rPh sb="13" eb="15">
      <t>テンジョウ</t>
    </rPh>
    <rPh sb="16" eb="18">
      <t>シンユ</t>
    </rPh>
    <phoneticPr fontId="1"/>
  </si>
  <si>
    <t>通里　心兪</t>
    <rPh sb="0" eb="1">
      <t>ツウ</t>
    </rPh>
    <rPh sb="1" eb="2">
      <t>サト</t>
    </rPh>
    <rPh sb="3" eb="5">
      <t>シンユ</t>
    </rPh>
    <phoneticPr fontId="1"/>
  </si>
  <si>
    <t>外関　内関　三陰交　臨泣</t>
    <rPh sb="0" eb="2">
      <t>ガイカン</t>
    </rPh>
    <rPh sb="3" eb="5">
      <t>ナイカン</t>
    </rPh>
    <rPh sb="6" eb="9">
      <t>サンインコウ</t>
    </rPh>
    <rPh sb="10" eb="12">
      <t>リンキュウ</t>
    </rPh>
    <phoneticPr fontId="1"/>
  </si>
  <si>
    <t>鳩尾　上脘　陰都　陽渓　解渓</t>
    <phoneticPr fontId="1"/>
  </si>
  <si>
    <t>1792　鍼法要集　源長起　</t>
    <phoneticPr fontId="1"/>
  </si>
  <si>
    <t>神門　大陵　巨闕　膏肓を瀉す　癒えざれば背の4椎の下中央の1穴に灸</t>
    <phoneticPr fontId="1"/>
  </si>
  <si>
    <t>※　以下はデータベース未収</t>
    <rPh sb="2" eb="4">
      <t>イカ</t>
    </rPh>
    <rPh sb="11" eb="13">
      <t>ミシュウ</t>
    </rPh>
    <phoneticPr fontId="1"/>
  </si>
  <si>
    <r>
      <t>鍼/</t>
    </r>
    <r>
      <rPr>
        <sz val="11"/>
        <color rgb="FFFF0000"/>
        <rFont val="ＭＳ Ｐゴシック"/>
        <family val="3"/>
        <charset val="128"/>
        <scheme val="minor"/>
      </rPr>
      <t>三里　膈兪　少衝</t>
    </r>
    <phoneticPr fontId="1"/>
  </si>
  <si>
    <t>岡本一抱著『鍼灸初心鈔』異名同書</t>
    <rPh sb="12" eb="14">
      <t>イメイ</t>
    </rPh>
    <rPh sb="14" eb="15">
      <t>オナ</t>
    </rPh>
    <rPh sb="15" eb="16">
      <t>ショ</t>
    </rPh>
    <phoneticPr fontId="1"/>
  </si>
  <si>
    <t>●0300　鍼灸甲乙経　皇甫謐</t>
  </si>
  <si>
    <t>●0650　千金方　孫思ばく</t>
  </si>
  <si>
    <t>●1220　鍼灸資生経　王執中</t>
  </si>
  <si>
    <t>●1224　医説　宋・張杲</t>
  </si>
  <si>
    <t>●1226　備急灸法　宋・聞人耆年</t>
  </si>
  <si>
    <t>●1299　続添要穴集　惟宗時俊</t>
  </si>
  <si>
    <t>●1315　鍼経摘英集　元・杜思敬「済生抜粋方」より　</t>
  </si>
  <si>
    <t>●1329　扁鵲神応鍼灸玉龍経　元・王国瑞</t>
  </si>
  <si>
    <t>●1425　神応経　明・陳会撰・劉瑾重校</t>
  </si>
  <si>
    <t>●1537　鍼灸聚英　明・高武</t>
  </si>
  <si>
    <t>●1563　鍼灸集要　曲直瀬道三</t>
  </si>
  <si>
    <t>●1574　兪穴参伍的法　秦宗巴</t>
  </si>
  <si>
    <t>●1594　経脈方寸秘書　曲直瀬道三</t>
  </si>
  <si>
    <t>●1607　扁鵲新流之書　越斎寿閑</t>
  </si>
  <si>
    <t>●1613　古今集鍼法　長生庵了味か</t>
  </si>
  <si>
    <t>●1624　類経図翼　明・張介賓</t>
  </si>
  <si>
    <t>○1660　鍼灸合類　らく洋散人　『類經図翼』と同じ</t>
  </si>
  <si>
    <t>●1669　鍼灸枢要　山本玄通</t>
  </si>
  <si>
    <t>●1679　鍼法奇貨　渡辺東伯</t>
  </si>
  <si>
    <t>●1680　鍼灸抜萃　著者未詳</t>
  </si>
  <si>
    <t>○1685　鍼灸五蘊抄　田中知箴</t>
  </si>
  <si>
    <t>●1685　鍼道秘訣集　御園夢分斎</t>
  </si>
  <si>
    <t>●1686　鍼灸要法指南　岩田利斎</t>
  </si>
  <si>
    <t>●1693　鍼灸要歌集　安井昌玄</t>
  </si>
  <si>
    <t>●1694　選鍼三要集　杉山和一</t>
  </si>
  <si>
    <t>●1694　療治之大概集　杉山和一</t>
  </si>
  <si>
    <t>●1694　鍼灸溯洄集　高津敬節</t>
  </si>
  <si>
    <t>●1696　広益鍼灸抜萃　著者未詳</t>
  </si>
  <si>
    <t>●1698　鍼灸抜粋大成　岡本一抱</t>
  </si>
  <si>
    <t>●1703　鍼灸阿是要穴　岡本一抱</t>
  </si>
  <si>
    <t>●1718　鍼灸重宝記　本郷正豊著</t>
  </si>
  <si>
    <t>●1758　灸ぜつ塩土伝　三宅意安</t>
  </si>
  <si>
    <t>●1761　挨穴捷径　杉原敦</t>
  </si>
  <si>
    <t>●1765　鍼法弁惑　藤井秀孟</t>
  </si>
  <si>
    <t>●1767　鍼灸則　菅沼周桂</t>
  </si>
  <si>
    <t>●1773　鍼灸手引草　大簡室主人</t>
  </si>
  <si>
    <t>●1780　鍼灸極秘伝　木村太沖</t>
  </si>
  <si>
    <t>●1785　鍼書　本城義軒</t>
  </si>
  <si>
    <t>●1792　鍼法要集　源長起</t>
  </si>
  <si>
    <t>●1794　杉山流鍼術　島浦和田一</t>
  </si>
  <si>
    <t>●1800　岡田流鍼術書　岡田見龍</t>
  </si>
  <si>
    <t>○1800　灸治要穴記　著者未詳　『鍼灸重宝記』の内容と極めて類似</t>
  </si>
  <si>
    <t>●1800　鍼灸備要　小坂元祐</t>
  </si>
  <si>
    <t>●1807　続名家灸選　平井庸信</t>
  </si>
  <si>
    <t>●1813　名家灸選　浅井惟亨</t>
  </si>
  <si>
    <t>●1813　名家灸選三編　平井庸信</t>
  </si>
  <si>
    <t>○1819　端座流秘伝書　著者未詳</t>
  </si>
  <si>
    <t>●1887年（明治20）　鍼灸備要　青山道醇</t>
  </si>
  <si>
    <t>●1912年（大正01）　　鍼灸手引草　久木田七郎</t>
  </si>
  <si>
    <t>●2000　灸穴集　著者未詳</t>
  </si>
  <si>
    <t>●2000　経穴図解　著者未詳</t>
  </si>
  <si>
    <t>○2000　鍼灸抜萃　著者未詳　1696　『広益鍼灸抜萃』に同じ</t>
  </si>
  <si>
    <t>○2000　鍼灸要穴　小高氏伝　岡西巌編　1685　『鍼灸五蘊抄』に同じ</t>
  </si>
  <si>
    <t>病名</t>
  </si>
  <si>
    <t>和名</t>
  </si>
  <si>
    <t>西洋</t>
  </si>
  <si>
    <t>胃脘痛</t>
  </si>
  <si>
    <t>イカンツウ</t>
  </si>
  <si>
    <t>みづおちいたみ</t>
  </si>
  <si>
    <t>胃痛・胃痙攣の類</t>
  </si>
  <si>
    <t>胃脘癰</t>
  </si>
  <si>
    <t>イカンヨウ</t>
  </si>
  <si>
    <t>いのできもの</t>
  </si>
  <si>
    <t>胃潰瘍その他</t>
  </si>
  <si>
    <t>噎膈</t>
  </si>
  <si>
    <t>イッカク</t>
  </si>
  <si>
    <t>かくのやまい</t>
  </si>
  <si>
    <t>食道ガン・食道狭窄</t>
  </si>
  <si>
    <t>読み</t>
    <rPh sb="0" eb="1">
      <t>ヨ</t>
    </rPh>
    <phoneticPr fontId="1"/>
  </si>
  <si>
    <t>遺尿</t>
  </si>
  <si>
    <t>イニョウ</t>
  </si>
  <si>
    <t>ねしょうべん</t>
  </si>
  <si>
    <t>夜尿症</t>
  </si>
  <si>
    <t>陰狐疝</t>
  </si>
  <si>
    <t>インコセン</t>
  </si>
  <si>
    <t>だっちょう</t>
  </si>
  <si>
    <t>鼠蹊ヘルニア</t>
  </si>
  <si>
    <t>陰挺下脱</t>
  </si>
  <si>
    <t>インテイゲダツ</t>
  </si>
  <si>
    <t>なす</t>
  </si>
  <si>
    <t>子宮脱出</t>
  </si>
  <si>
    <t>鬱症</t>
  </si>
  <si>
    <t>ウツショウ</t>
  </si>
  <si>
    <t>ふさぎやまい</t>
  </si>
  <si>
    <t>うつ病（鬱病）</t>
  </si>
  <si>
    <t>瘟疫</t>
  </si>
  <si>
    <t>ウンエキ</t>
  </si>
  <si>
    <t>えやみ</t>
  </si>
  <si>
    <t>発疹チフス・腸チフスの類</t>
  </si>
  <si>
    <t>瘟黄</t>
  </si>
  <si>
    <t>ウンオウ</t>
  </si>
  <si>
    <t>おうだんかぜ</t>
  </si>
  <si>
    <t>黄熱病の類</t>
  </si>
  <si>
    <t>噦逆</t>
  </si>
  <si>
    <t>エツギャク</t>
  </si>
  <si>
    <t>しゃくり</t>
  </si>
  <si>
    <t>横隔膜痙攣・吃逆</t>
  </si>
  <si>
    <t>黄胖病</t>
  </si>
  <si>
    <t>オウハンビョウ</t>
  </si>
  <si>
    <t>あをのやまい</t>
  </si>
  <si>
    <t>萎黄病・心臓病・寄生虫病</t>
  </si>
  <si>
    <t>悪阻</t>
  </si>
  <si>
    <t>オソ</t>
  </si>
  <si>
    <t>つわり</t>
  </si>
  <si>
    <t>妊娠嘔吐・悪阻</t>
  </si>
  <si>
    <t>蟹晴</t>
  </si>
  <si>
    <t>カイセイ</t>
  </si>
  <si>
    <t>どうききびはれ・めのとびでる病</t>
  </si>
  <si>
    <t>バセドウ病</t>
  </si>
  <si>
    <t>欬嗽</t>
  </si>
  <si>
    <t>ガイソウ</t>
  </si>
  <si>
    <t>しはぶき</t>
  </si>
  <si>
    <t>急性・慢性気管支炎</t>
  </si>
  <si>
    <t>解顱</t>
  </si>
  <si>
    <t>カイロ</t>
  </si>
  <si>
    <t>さいづちあたま</t>
  </si>
  <si>
    <t>脳水腫</t>
  </si>
  <si>
    <t>牙疳</t>
  </si>
  <si>
    <t>ガカン</t>
  </si>
  <si>
    <t>はくさ</t>
  </si>
  <si>
    <t>壊血病</t>
  </si>
  <si>
    <t>鶴膝風</t>
  </si>
  <si>
    <t>カクシツフウ</t>
  </si>
  <si>
    <t>ひざぶしのはれもの</t>
  </si>
  <si>
    <t>関節水腫</t>
  </si>
  <si>
    <t>霍乱</t>
  </si>
  <si>
    <t>カクラン</t>
  </si>
  <si>
    <t>はきくだし</t>
  </si>
  <si>
    <t>急性中毒性胃炎</t>
  </si>
  <si>
    <t>陰痿</t>
  </si>
  <si>
    <t>インイ</t>
  </si>
  <si>
    <t>えてものきかぬ</t>
  </si>
  <si>
    <t>勃起不能</t>
  </si>
  <si>
    <t>陰痔</t>
  </si>
  <si>
    <t>インジ</t>
  </si>
  <si>
    <t>いんもんのうちのはれもの</t>
  </si>
  <si>
    <t>膣息肉</t>
  </si>
  <si>
    <t>陰吹</t>
  </si>
  <si>
    <t>インスイ</t>
  </si>
  <si>
    <t>まえとうしろとのさかいにあなあり</t>
  </si>
  <si>
    <t>直腸陰膣瘻</t>
  </si>
  <si>
    <t>陰痒</t>
  </si>
  <si>
    <t>インヨウ</t>
  </si>
  <si>
    <t>いんもんのなかかゆきやまい</t>
  </si>
  <si>
    <t>陰門掻痒症</t>
  </si>
  <si>
    <t>陰陽毒</t>
  </si>
  <si>
    <t>インヨウドク</t>
  </si>
  <si>
    <t>のどのやまい</t>
  </si>
  <si>
    <t>悪性咽喉糜爛の類</t>
  </si>
  <si>
    <t>飲癖</t>
  </si>
  <si>
    <t>インペキ</t>
  </si>
  <si>
    <t>胃ガンの１症・留飲</t>
  </si>
  <si>
    <t>烏頭毒</t>
  </si>
  <si>
    <t>ウズドク</t>
  </si>
  <si>
    <t>とりかぶとのどくあたり</t>
  </si>
  <si>
    <t>烏頭中毒</t>
  </si>
  <si>
    <t>横痃</t>
  </si>
  <si>
    <t>オウゲン</t>
  </si>
  <si>
    <t>よこね</t>
  </si>
  <si>
    <t>疥瘡</t>
  </si>
  <si>
    <t>カイソウ</t>
  </si>
  <si>
    <t>ひぜんがさ・しつ</t>
  </si>
  <si>
    <t>疥癬</t>
  </si>
  <si>
    <t>瓜■瘟</t>
  </si>
  <si>
    <t>カジョウウン</t>
  </si>
  <si>
    <t>ころり</t>
  </si>
  <si>
    <t>コレラ</t>
  </si>
  <si>
    <t>鵞口瘡</t>
  </si>
  <si>
    <t>ガコソウ</t>
  </si>
  <si>
    <t>しろじた</t>
  </si>
  <si>
    <t>寄生性口内炎</t>
  </si>
  <si>
    <t>鵝掌風</t>
  </si>
  <si>
    <t>ガショウフウ</t>
  </si>
  <si>
    <t>みずむし</t>
  </si>
  <si>
    <t>手掌鱗屑癬・角化症</t>
  </si>
  <si>
    <t>鵝鴨脚</t>
  </si>
  <si>
    <t>ガオウキャク</t>
  </si>
  <si>
    <t>かもあし</t>
  </si>
  <si>
    <t>膝外反・膝内反症</t>
  </si>
  <si>
    <t>火帯瘡</t>
  </si>
  <si>
    <t>カタイソウ</t>
  </si>
  <si>
    <t>つつらご</t>
  </si>
  <si>
    <t>帯状ヘルペス</t>
  </si>
  <si>
    <t>火丹</t>
  </si>
  <si>
    <t>カタン</t>
  </si>
  <si>
    <t>はやくさ</t>
  </si>
  <si>
    <t>丹毒</t>
  </si>
  <si>
    <t>脚気</t>
  </si>
  <si>
    <t>カッケ</t>
  </si>
  <si>
    <t>あしのけ</t>
  </si>
  <si>
    <t>華癲</t>
  </si>
  <si>
    <t>カテン</t>
  </si>
  <si>
    <t>いんらん</t>
  </si>
  <si>
    <t>女子色欲亢盛</t>
  </si>
  <si>
    <t>蝦蟇瘟</t>
  </si>
  <si>
    <t>ガマウン</t>
  </si>
  <si>
    <t>かおにできるはやくさ</t>
  </si>
  <si>
    <t>顔面丹毒・耳下腺炎に混ず</t>
  </si>
  <si>
    <t>乾脚気</t>
  </si>
  <si>
    <t>カンカッケ</t>
  </si>
  <si>
    <t>やせほそるかっけ</t>
  </si>
  <si>
    <t>萎縮性脚気</t>
  </si>
  <si>
    <t>■囈</t>
  </si>
  <si>
    <t>カンゲイ</t>
  </si>
  <si>
    <t>ねぼける</t>
  </si>
  <si>
    <t>夢遊病・夢中行歩</t>
  </si>
  <si>
    <t>寒疝</t>
  </si>
  <si>
    <t>カンセン</t>
  </si>
  <si>
    <t>せんきひえばら</t>
  </si>
  <si>
    <t>腸神経痛・諸腹痛</t>
  </si>
  <si>
    <t>頑癬</t>
  </si>
  <si>
    <t>ガンセン</t>
  </si>
  <si>
    <t>たむし</t>
  </si>
  <si>
    <t>疳眼</t>
  </si>
  <si>
    <t>カンガン</t>
  </si>
  <si>
    <t>かんめ</t>
  </si>
  <si>
    <t>角膜軟化症・フリクテン</t>
  </si>
  <si>
    <t>疳瘡</t>
  </si>
  <si>
    <t>カンソウ</t>
  </si>
  <si>
    <t>かんそう</t>
  </si>
  <si>
    <t>下疳</t>
  </si>
  <si>
    <t>眼丹</t>
  </si>
  <si>
    <t>ガンタン</t>
  </si>
  <si>
    <t>めいぼ・ものもらい</t>
  </si>
  <si>
    <t>麦粒腫</t>
  </si>
  <si>
    <t>癭瘤</t>
  </si>
  <si>
    <t>エイリュウ</t>
  </si>
  <si>
    <t>こぶ</t>
  </si>
  <si>
    <t>粉瘤</t>
  </si>
  <si>
    <t>鬼魘</t>
  </si>
  <si>
    <t>キエン</t>
  </si>
  <si>
    <t>おそわれる</t>
  </si>
  <si>
    <t>精神分裂病</t>
  </si>
  <si>
    <t>鬼胎</t>
  </si>
  <si>
    <t>キタイ</t>
  </si>
  <si>
    <t>もののけにつかれたる</t>
  </si>
  <si>
    <t>畸形児</t>
  </si>
  <si>
    <t>肌衂</t>
  </si>
  <si>
    <t>キジク</t>
  </si>
  <si>
    <t>はだに血のにじむやまい</t>
  </si>
  <si>
    <t>紫斑病</t>
  </si>
  <si>
    <t>亀背</t>
  </si>
  <si>
    <t>キハイ</t>
  </si>
  <si>
    <t>はとむねせむし</t>
  </si>
  <si>
    <t>佝僂病</t>
  </si>
  <si>
    <t>喜忘</t>
  </si>
  <si>
    <t>キボウ</t>
  </si>
  <si>
    <t>どわすれ</t>
  </si>
  <si>
    <t>失語症・健忘症</t>
  </si>
  <si>
    <t>牛程■</t>
  </si>
  <si>
    <t>ギュウテイケン</t>
  </si>
  <si>
    <t>そこまめ</t>
  </si>
  <si>
    <t>皮下結締織炎</t>
  </si>
  <si>
    <t>瘧</t>
  </si>
  <si>
    <t>ギャク</t>
  </si>
  <si>
    <t>おこり</t>
  </si>
  <si>
    <t>腎盂炎・マラリアの類</t>
  </si>
  <si>
    <t>逆上</t>
  </si>
  <si>
    <t>ギャクジョウ</t>
  </si>
  <si>
    <t>のぼせ</t>
  </si>
  <si>
    <t>脳充血</t>
  </si>
  <si>
    <t>急黄</t>
  </si>
  <si>
    <t>キュウオウ</t>
  </si>
  <si>
    <t>はげしきおうだん</t>
  </si>
  <si>
    <t>ワイル病・劇性黄疸の類</t>
  </si>
  <si>
    <t>急驚風</t>
  </si>
  <si>
    <t>キュウキョウフウ</t>
  </si>
  <si>
    <t>ひきつけ</t>
  </si>
  <si>
    <t>急癇・結核性脳膜炎</t>
  </si>
  <si>
    <t>急肥</t>
  </si>
  <si>
    <t>キュウヒ</t>
  </si>
  <si>
    <t>こえふとるやまい</t>
  </si>
  <si>
    <t>肥胖病</t>
  </si>
  <si>
    <t>胸痛</t>
  </si>
  <si>
    <t>キョウツウ</t>
  </si>
  <si>
    <t>あばらのいたみ</t>
  </si>
  <si>
    <t>胸膜炎</t>
  </si>
  <si>
    <t>胸痺</t>
  </si>
  <si>
    <t>キョウヒ</t>
  </si>
  <si>
    <t>むねのうちしびれ</t>
  </si>
  <si>
    <t>気胸・肺気腫・胸膜炎・心臓病などの症</t>
  </si>
  <si>
    <t>驚風</t>
  </si>
  <si>
    <t>キョウフウ</t>
  </si>
  <si>
    <t>子供のひきつけるやまい</t>
  </si>
  <si>
    <t>幼児急癇</t>
  </si>
  <si>
    <t>強中病</t>
  </si>
  <si>
    <t>キョウチュウビョウ</t>
  </si>
  <si>
    <t>えてものたちつづけ</t>
  </si>
  <si>
    <t>男子淫欲亢進症</t>
  </si>
  <si>
    <t>脇肋痛</t>
  </si>
  <si>
    <t>キョウロクツウ</t>
  </si>
  <si>
    <t>あばらぼねのいたみ</t>
  </si>
  <si>
    <t>肋間神経痛</t>
  </si>
  <si>
    <t>クルビョウ</t>
  </si>
  <si>
    <t>せむし</t>
  </si>
  <si>
    <t>佝僂病・イギリス病</t>
  </si>
  <si>
    <t>経解</t>
  </si>
  <si>
    <t>ケイカイ</t>
  </si>
  <si>
    <t>ほねなし</t>
  </si>
  <si>
    <t>骨軟骨証</t>
  </si>
  <si>
    <t>痙病</t>
  </si>
  <si>
    <t>ケイビョウ</t>
  </si>
  <si>
    <t>そりのやまい</t>
  </si>
  <si>
    <t>角弓反張・子癇・破傷風の類</t>
  </si>
  <si>
    <t>血虚</t>
  </si>
  <si>
    <t>ケッキョ</t>
  </si>
  <si>
    <t>ちのすくなきやまい</t>
  </si>
  <si>
    <t>貧血症</t>
  </si>
  <si>
    <t>血虚頭眩</t>
  </si>
  <si>
    <t>ケッキョズゲン</t>
  </si>
  <si>
    <t>めまい</t>
  </si>
  <si>
    <t>脳貧血</t>
  </si>
  <si>
    <t>血痣</t>
  </si>
  <si>
    <t>ケツシ</t>
  </si>
  <si>
    <t>ちあざ・ちまめ</t>
  </si>
  <si>
    <t>末梢血管拡張</t>
  </si>
  <si>
    <t>血証</t>
  </si>
  <si>
    <t>ケッショウ</t>
  </si>
  <si>
    <t>ちのでやすきやまい</t>
  </si>
  <si>
    <t>血友病の類</t>
  </si>
  <si>
    <t>血風瘡</t>
  </si>
  <si>
    <t>ケップウソウ</t>
  </si>
  <si>
    <t>ちぼろせ</t>
  </si>
  <si>
    <t>滲出性紅斑</t>
  </si>
  <si>
    <t>月信痛</t>
  </si>
  <si>
    <t>ゲッシンツウ</t>
  </si>
  <si>
    <t>つきやみ</t>
  </si>
  <si>
    <t>月経痛・月経困難</t>
  </si>
  <si>
    <t>結毒</t>
  </si>
  <si>
    <t>ケツドク</t>
  </si>
  <si>
    <t>からだじゅうのかさ</t>
  </si>
  <si>
    <t>潜伏梅毒</t>
  </si>
  <si>
    <t>瞼生風栗</t>
  </si>
  <si>
    <t>ケンセイフウリツ</t>
  </si>
  <si>
    <t>こすりめ</t>
  </si>
  <si>
    <t>濾胞性結膜炎</t>
  </si>
  <si>
    <t>■瘡</t>
  </si>
  <si>
    <t>ケンソウ</t>
  </si>
  <si>
    <t>とびひ</t>
  </si>
  <si>
    <t>膿痂疹</t>
  </si>
  <si>
    <t>口眼■斜</t>
  </si>
  <si>
    <t>コウガンカシャ</t>
  </si>
  <si>
    <t>くちゆがむ</t>
  </si>
  <si>
    <t>顔面神経麻痺</t>
  </si>
  <si>
    <t>口中転屎</t>
  </si>
  <si>
    <t>コウチュウテンシ</t>
  </si>
  <si>
    <t>くそはくやまい</t>
  </si>
  <si>
    <t>腸管狭窄・腸閉塞</t>
  </si>
  <si>
    <t>口糜</t>
  </si>
  <si>
    <t>コウビ</t>
  </si>
  <si>
    <t>こうねつ</t>
  </si>
  <si>
    <t>口内炎</t>
  </si>
  <si>
    <t>紅絲瘡</t>
  </si>
  <si>
    <t>コウシソウ</t>
  </si>
  <si>
    <t>すじちょう</t>
  </si>
  <si>
    <t>淋巴管炎</t>
  </si>
  <si>
    <t>交腸</t>
  </si>
  <si>
    <t>コウチョウ</t>
  </si>
  <si>
    <t>小便より大便のでるやまい</t>
  </si>
  <si>
    <t>尿道直腸瘻</t>
  </si>
  <si>
    <t>香弁瘡</t>
  </si>
  <si>
    <t>コウベンソウ</t>
  </si>
  <si>
    <t>かにくさ</t>
  </si>
  <si>
    <t>面部膿疱疹</t>
  </si>
  <si>
    <t>喉痺</t>
  </si>
  <si>
    <t>コウヒ</t>
  </si>
  <si>
    <t>こうひ</t>
  </si>
  <si>
    <t>扁桃腺炎アンギーナ</t>
  </si>
  <si>
    <t>胡気</t>
  </si>
  <si>
    <t>コキ</t>
  </si>
  <si>
    <t>わきが</t>
  </si>
  <si>
    <t>腋臭</t>
  </si>
  <si>
    <t>枯筋箭</t>
  </si>
  <si>
    <t>コキンセン</t>
  </si>
  <si>
    <t>うをのめ</t>
  </si>
  <si>
    <t>魚疣</t>
  </si>
  <si>
    <t>五更瀉</t>
  </si>
  <si>
    <t>ゴコウシャ</t>
  </si>
  <si>
    <t>あけがたくだりやまい</t>
  </si>
  <si>
    <t>腸結核の類</t>
  </si>
  <si>
    <t>五軟</t>
  </si>
  <si>
    <t>ゴナン</t>
  </si>
  <si>
    <t>脳性小児麻痺</t>
  </si>
  <si>
    <t>穀嘴瘡</t>
  </si>
  <si>
    <t>コクジソウ</t>
  </si>
  <si>
    <t>にきび</t>
  </si>
  <si>
    <t>面皰■瘡</t>
  </si>
  <si>
    <t>鼓脹</t>
  </si>
  <si>
    <t>コチョウ</t>
  </si>
  <si>
    <t>かめばら</t>
  </si>
  <si>
    <t>狐惑</t>
  </si>
  <si>
    <t>コワク</t>
  </si>
  <si>
    <t>どくによるきやまい</t>
  </si>
  <si>
    <t>梅毒性神経衰弱の類</t>
  </si>
  <si>
    <t>鎖陰</t>
  </si>
  <si>
    <t>サイン</t>
  </si>
  <si>
    <t>いつけつ</t>
  </si>
  <si>
    <t>鎖肛</t>
  </si>
  <si>
    <t>サコウ</t>
  </si>
  <si>
    <t>しりあななし</t>
  </si>
  <si>
    <t>■腮</t>
  </si>
  <si>
    <t>ササイ</t>
  </si>
  <si>
    <t>ほおばれ</t>
  </si>
  <si>
    <t>流行性耳下腺炎</t>
  </si>
  <si>
    <t>沙蟲</t>
  </si>
  <si>
    <t>サチュウ</t>
  </si>
  <si>
    <t>つつがむし</t>
  </si>
  <si>
    <t>恙虫病</t>
  </si>
  <si>
    <t>痣魘</t>
  </si>
  <si>
    <t>シエン</t>
  </si>
  <si>
    <t>あざ</t>
  </si>
  <si>
    <t>母斑</t>
  </si>
  <si>
    <t>自汗</t>
  </si>
  <si>
    <t>ジカン</t>
  </si>
  <si>
    <t>ひああせ</t>
  </si>
  <si>
    <t>多汗症の類</t>
  </si>
  <si>
    <t>児枕痛</t>
  </si>
  <si>
    <t>ジチンツウ</t>
  </si>
  <si>
    <t>あとはらいたみ</t>
  </si>
  <si>
    <t>産褥腹痛</t>
  </si>
  <si>
    <t>湿脚気</t>
  </si>
  <si>
    <t>シツカッケ</t>
  </si>
  <si>
    <t>はれのあるかっけ</t>
  </si>
  <si>
    <t>浮腫性脚気</t>
  </si>
  <si>
    <t>失栄</t>
  </si>
  <si>
    <t>シツエイ</t>
  </si>
  <si>
    <t>わるいおでき</t>
  </si>
  <si>
    <t>癌腫の類</t>
  </si>
  <si>
    <t>失精</t>
  </si>
  <si>
    <t>シッセイ</t>
  </si>
  <si>
    <t>もうぞう</t>
  </si>
  <si>
    <t>遺精</t>
  </si>
  <si>
    <t>指痺</t>
  </si>
  <si>
    <t>シヒ</t>
  </si>
  <si>
    <t>ゆびのすじつまり</t>
  </si>
  <si>
    <t>指端痙攣</t>
  </si>
  <si>
    <t>子冒</t>
  </si>
  <si>
    <t>シボウ</t>
  </si>
  <si>
    <t>しかん</t>
  </si>
  <si>
    <t>子癇</t>
  </si>
  <si>
    <t>■■</t>
  </si>
  <si>
    <t>シャチュウ</t>
  </si>
  <si>
    <t>あしくびのそとがわにまがる</t>
  </si>
  <si>
    <t>内反足</t>
  </si>
  <si>
    <t>邪祟</t>
  </si>
  <si>
    <t>ジャスイ</t>
  </si>
  <si>
    <t>つきもの</t>
  </si>
  <si>
    <t>緊張病・アメンチャ・妄覚病</t>
  </si>
  <si>
    <t>蛇皮</t>
  </si>
  <si>
    <t>ジャヒ</t>
  </si>
  <si>
    <t>はたけ</t>
  </si>
  <si>
    <t>糠粃疹</t>
  </si>
  <si>
    <t>重身</t>
  </si>
  <si>
    <t>ジュウシン</t>
  </si>
  <si>
    <t>かいにん</t>
  </si>
  <si>
    <t>妊娠</t>
  </si>
  <si>
    <t>酒■鼻</t>
  </si>
  <si>
    <t>シュサビ</t>
  </si>
  <si>
    <t>ざくろはな</t>
  </si>
  <si>
    <t>消渇</t>
  </si>
  <si>
    <t>ショウカチ</t>
  </si>
  <si>
    <t>かわきのやまい</t>
  </si>
  <si>
    <t>糖尿病</t>
  </si>
  <si>
    <t>傷寒</t>
  </si>
  <si>
    <t>ショウカン</t>
  </si>
  <si>
    <t>ねつびょう</t>
  </si>
  <si>
    <t>熱病・腸チフスの類</t>
  </si>
  <si>
    <t>小戸嫁痛</t>
  </si>
  <si>
    <t>ショウコカツウ</t>
  </si>
  <si>
    <t>まえのもんさける</t>
  </si>
  <si>
    <t>陰膣裂傷</t>
  </si>
  <si>
    <t>衝疝</t>
  </si>
  <si>
    <t>ショウセン</t>
  </si>
  <si>
    <t>てもあてられぬはらいたみ</t>
  </si>
  <si>
    <t>急性穿孔性腹膜炎</t>
  </si>
  <si>
    <t>蒸熱</t>
  </si>
  <si>
    <t>ジョウネツ</t>
  </si>
  <si>
    <t>さんごのちちねつ</t>
  </si>
  <si>
    <t>生乳熱</t>
  </si>
  <si>
    <t>食傷</t>
  </si>
  <si>
    <t>ショクショウ</t>
  </si>
  <si>
    <t>しょくあたり</t>
  </si>
  <si>
    <t>急性胃炎</t>
  </si>
  <si>
    <t>食迷風</t>
  </si>
  <si>
    <t>ショクメイフウ</t>
  </si>
  <si>
    <t>むかつき</t>
  </si>
  <si>
    <t>嘔吐・悪心</t>
  </si>
  <si>
    <t>褥熱</t>
  </si>
  <si>
    <t>ジョクネツ</t>
  </si>
  <si>
    <t>さんごのもつれ</t>
  </si>
  <si>
    <t>産褥熱</t>
  </si>
  <si>
    <t>褥労</t>
  </si>
  <si>
    <t>ジョクロウ</t>
  </si>
  <si>
    <t>さんごのつかれ</t>
  </si>
  <si>
    <t>産後結核症</t>
  </si>
  <si>
    <t>心下悸</t>
  </si>
  <si>
    <t>シンカキ</t>
  </si>
  <si>
    <t>どうき</t>
  </si>
  <si>
    <t>心悸亢進</t>
  </si>
  <si>
    <t>心気病</t>
  </si>
  <si>
    <t>シンキビョウ</t>
  </si>
  <si>
    <t>きふさぎ</t>
  </si>
  <si>
    <t>神経衰弱</t>
  </si>
  <si>
    <t>心痛</t>
  </si>
  <si>
    <t>シンツウ</t>
  </si>
  <si>
    <t>むねのうちのいたみ</t>
  </si>
  <si>
    <t>心内膜炎・心筋炎・心膜炎など</t>
  </si>
  <si>
    <t>心■</t>
  </si>
  <si>
    <t>シンショウ</t>
  </si>
  <si>
    <t>むなさわぎ</t>
  </si>
  <si>
    <t>神経性心悸亢進</t>
  </si>
  <si>
    <t>心動悸</t>
  </si>
  <si>
    <t>シンドウキ</t>
  </si>
  <si>
    <t>心臓弁膜症・動悸</t>
  </si>
  <si>
    <t>心風</t>
  </si>
  <si>
    <t>シンプウ</t>
  </si>
  <si>
    <t>きやみ</t>
  </si>
  <si>
    <t>ヒポコンドリー</t>
  </si>
  <si>
    <t>腎虚</t>
  </si>
  <si>
    <t>ジンキョ</t>
  </si>
  <si>
    <t>じんきょ</t>
  </si>
  <si>
    <t>精力減退</t>
  </si>
  <si>
    <t>腎嚢風</t>
  </si>
  <si>
    <t>ジンノウフウ</t>
  </si>
  <si>
    <t>いんきんたむし</t>
  </si>
  <si>
    <t>陰部湿疹</t>
  </si>
  <si>
    <t>真心痛</t>
  </si>
  <si>
    <t>シンシンツウ</t>
  </si>
  <si>
    <t>はやうちかた</t>
  </si>
  <si>
    <t>狭心症</t>
  </si>
  <si>
    <t>真頭痛</t>
  </si>
  <si>
    <t>シンズツウ</t>
  </si>
  <si>
    <t>あたまのさけるほどのいたみ</t>
  </si>
  <si>
    <t>脳膜炎の類</t>
  </si>
  <si>
    <t>神仙労</t>
  </si>
  <si>
    <t>シンセンロウ</t>
  </si>
  <si>
    <t>くわざるやまい</t>
  </si>
  <si>
    <t>精神病的不食症</t>
  </si>
  <si>
    <t>水気</t>
  </si>
  <si>
    <t>スイキ</t>
  </si>
  <si>
    <t>すいき</t>
  </si>
  <si>
    <t>腎炎の類</t>
  </si>
  <si>
    <t>水疱</t>
  </si>
  <si>
    <t>スイホウ</t>
  </si>
  <si>
    <t>やぶいも</t>
  </si>
  <si>
    <t>水痘</t>
  </si>
  <si>
    <t>■目</t>
  </si>
  <si>
    <t>キモク</t>
  </si>
  <si>
    <t>すがめ</t>
  </si>
  <si>
    <t>眼瞼挙筋麻痺</t>
  </si>
  <si>
    <t>頭瘟</t>
  </si>
  <si>
    <t>ズウン</t>
  </si>
  <si>
    <t>なべかぶり</t>
  </si>
  <si>
    <t>頭部丹毒</t>
  </si>
  <si>
    <t>頭瘡</t>
  </si>
  <si>
    <t>ズソウ</t>
  </si>
  <si>
    <t>たいどく</t>
  </si>
  <si>
    <t>頭部湿疹</t>
  </si>
  <si>
    <t>寸白蟲</t>
  </si>
  <si>
    <t>スンパクチュウ</t>
  </si>
  <si>
    <t>さなだむし</t>
  </si>
  <si>
    <t>条虫</t>
  </si>
  <si>
    <t>星翳</t>
  </si>
  <si>
    <t>セイエイ</t>
  </si>
  <si>
    <t>めぼし</t>
  </si>
  <si>
    <t>角膜翳</t>
  </si>
  <si>
    <t>臍風撮口</t>
  </si>
  <si>
    <t>セイフサツコウ</t>
  </si>
  <si>
    <t>つぼぐち</t>
  </si>
  <si>
    <t>初生児破傷風</t>
  </si>
  <si>
    <t>青盲</t>
  </si>
  <si>
    <t>セイモウ</t>
  </si>
  <si>
    <t>あをそこひ</t>
  </si>
  <si>
    <t>緑内障</t>
  </si>
  <si>
    <t>雪口</t>
  </si>
  <si>
    <t>セキコウ</t>
  </si>
  <si>
    <t>蹠足</t>
  </si>
  <si>
    <t>セキソク</t>
  </si>
  <si>
    <t>外反足</t>
  </si>
  <si>
    <t>赤遊丹</t>
  </si>
  <si>
    <t>セキユウタン</t>
  </si>
  <si>
    <t>もえくさ</t>
  </si>
  <si>
    <t>遊送丹毒</t>
  </si>
  <si>
    <t>石■</t>
  </si>
  <si>
    <t>セキカ</t>
  </si>
  <si>
    <t>おなかのかたまり</t>
  </si>
  <si>
    <t>卵巣嚢腫・畸形腫</t>
  </si>
  <si>
    <t>石淋</t>
  </si>
  <si>
    <t>セキリン</t>
  </si>
  <si>
    <t>小便に石のでるやまい</t>
  </si>
  <si>
    <t>腎結石・膀胱結石</t>
  </si>
  <si>
    <t>舌疳</t>
  </si>
  <si>
    <t>ゼツカン</t>
  </si>
  <si>
    <t>ぜっそ</t>
  </si>
  <si>
    <t>舌癌</t>
  </si>
  <si>
    <t>疝気</t>
  </si>
  <si>
    <t>センキ</t>
  </si>
  <si>
    <t>せんき</t>
  </si>
  <si>
    <t>腸神経痛・睾丸炎・精系炎など</t>
  </si>
  <si>
    <t>喘急</t>
  </si>
  <si>
    <t>ゼンキュウ</t>
  </si>
  <si>
    <t>ぜんそく</t>
  </si>
  <si>
    <t>気管支喘息の類</t>
  </si>
  <si>
    <t>顫振</t>
  </si>
  <si>
    <t>センシン</t>
  </si>
  <si>
    <t>かん</t>
  </si>
  <si>
    <t>舞踏病・振戦麻痺の類</t>
  </si>
  <si>
    <t>閃肭</t>
  </si>
  <si>
    <t>セントツ</t>
  </si>
  <si>
    <t>小児肥胖病</t>
  </si>
  <si>
    <t>瘡建</t>
  </si>
  <si>
    <t>ソウケン</t>
  </si>
  <si>
    <t>いぬこどころのしこり</t>
  </si>
  <si>
    <t>鼠蹊腺炎</t>
  </si>
  <si>
    <t>臓躁</t>
  </si>
  <si>
    <t>ぞうそう</t>
  </si>
  <si>
    <t>ちのみち</t>
  </si>
  <si>
    <t>ヒステリー・子宮痙攣</t>
  </si>
  <si>
    <t>嘈雑</t>
  </si>
  <si>
    <t>ソウザツ</t>
  </si>
  <si>
    <t>むねやけ</t>
  </si>
  <si>
    <t>胃酸過多症</t>
  </si>
  <si>
    <t>臓毒</t>
  </si>
  <si>
    <t>ゾウドク</t>
  </si>
  <si>
    <t>ぞうどく</t>
  </si>
  <si>
    <t>直腸ガンの類</t>
  </si>
  <si>
    <t>走馬疳</t>
  </si>
  <si>
    <t>ソウバカン</t>
  </si>
  <si>
    <t>水癌</t>
  </si>
  <si>
    <t>息胞</t>
  </si>
  <si>
    <t>ソクホウ</t>
  </si>
  <si>
    <t>えなのおりざる</t>
  </si>
  <si>
    <t>胞衣不下</t>
  </si>
  <si>
    <t>卒魘</t>
  </si>
  <si>
    <t>ソツエン</t>
  </si>
  <si>
    <t>うなされる</t>
  </si>
  <si>
    <t>卒中風</t>
  </si>
  <si>
    <t>ソッチュウフウ</t>
  </si>
  <si>
    <t>そっちゅう</t>
  </si>
  <si>
    <t>脳溢血</t>
  </si>
  <si>
    <t>滞頤</t>
  </si>
  <si>
    <t>タイイ</t>
  </si>
  <si>
    <t>よだれくり</t>
  </si>
  <si>
    <t>唾液過泄</t>
  </si>
  <si>
    <t>胎黄</t>
  </si>
  <si>
    <t>タイオウ</t>
  </si>
  <si>
    <t>あかごのおうだん</t>
  </si>
  <si>
    <t>初生児黄疸</t>
  </si>
  <si>
    <t>胎刺</t>
  </si>
  <si>
    <t>タイシ</t>
  </si>
  <si>
    <t>ちのはな</t>
  </si>
  <si>
    <t>嬰児紅疹</t>
  </si>
  <si>
    <t>胎■</t>
  </si>
  <si>
    <t>タイショウ</t>
  </si>
  <si>
    <t>よわむし</t>
  </si>
  <si>
    <t>小児発育不全</t>
  </si>
  <si>
    <t>胎毒</t>
  </si>
  <si>
    <t>タイドク</t>
  </si>
  <si>
    <t>遺伝梅毒</t>
  </si>
  <si>
    <t>大眦漏</t>
  </si>
  <si>
    <t>タイシロウ</t>
  </si>
  <si>
    <t>なみだのでるやまい</t>
  </si>
  <si>
    <t>涙嚢膿漏</t>
  </si>
  <si>
    <t>㿗疝</t>
  </si>
  <si>
    <t>タイセン</t>
  </si>
  <si>
    <t>おおぎんたま</t>
  </si>
  <si>
    <t>陰嚢象皮病</t>
  </si>
  <si>
    <t>脱疽</t>
  </si>
  <si>
    <t>ダッソ</t>
  </si>
  <si>
    <t>だっそ</t>
  </si>
  <si>
    <t>短蟲</t>
  </si>
  <si>
    <t>タンチュウ</t>
  </si>
  <si>
    <t>しりのあなにうじがわく</t>
  </si>
  <si>
    <t>蟯虫</t>
  </si>
  <si>
    <t>癡■</t>
  </si>
  <si>
    <t>チガイ</t>
  </si>
  <si>
    <t>ふぬけばか</t>
  </si>
  <si>
    <t>痴呆</t>
  </si>
  <si>
    <t>■搦</t>
  </si>
  <si>
    <t>チクジャク</t>
  </si>
  <si>
    <t>ひきつける</t>
  </si>
  <si>
    <t>痙攣・急癇</t>
  </si>
  <si>
    <t>中悪</t>
  </si>
  <si>
    <t>チュウアク</t>
  </si>
  <si>
    <t>悪気の毒</t>
  </si>
  <si>
    <t>ガス中毒</t>
  </si>
  <si>
    <t>中暍</t>
  </si>
  <si>
    <t>チュウエツ</t>
  </si>
  <si>
    <t>日にてりつけられた</t>
  </si>
  <si>
    <t>熱射病</t>
  </si>
  <si>
    <t>癥瘕</t>
  </si>
  <si>
    <t>チョウカ</t>
  </si>
  <si>
    <t>下はらのかたまり</t>
  </si>
  <si>
    <t>子宮血塊</t>
  </si>
  <si>
    <t>釘翳</t>
  </si>
  <si>
    <t>チョウエイ</t>
  </si>
  <si>
    <t>ほしくずれ</t>
  </si>
  <si>
    <t>角膜潰瘍</t>
  </si>
  <si>
    <t>腸覃</t>
  </si>
  <si>
    <t>チョウタン</t>
  </si>
  <si>
    <t>ちょうまん</t>
  </si>
  <si>
    <t>卵巣水腫・嚢腫</t>
  </si>
  <si>
    <t>腸癰</t>
  </si>
  <si>
    <t>チョウヨウ</t>
  </si>
  <si>
    <t>はらわたのできもの</t>
  </si>
  <si>
    <t>虫垂炎の類</t>
  </si>
  <si>
    <t>脹滿</t>
  </si>
  <si>
    <t>チョウマン</t>
  </si>
  <si>
    <t>腹水・滲出性慢性腹膜炎</t>
  </si>
  <si>
    <t>痛風</t>
  </si>
  <si>
    <t>ツウフウ</t>
  </si>
  <si>
    <t>つうふう</t>
  </si>
  <si>
    <t>筋肉リウマチの類</t>
  </si>
  <si>
    <t>溺血</t>
  </si>
  <si>
    <t>デキケツ</t>
  </si>
  <si>
    <t>小便に血のでるやまい</t>
  </si>
  <si>
    <t>腎結核・血尿</t>
  </si>
  <si>
    <t>転筋</t>
  </si>
  <si>
    <t>テンキン</t>
  </si>
  <si>
    <t>すじつまり・こむらがえり</t>
  </si>
  <si>
    <t>局発筋肉痙攣</t>
  </si>
  <si>
    <t>転胞</t>
  </si>
  <si>
    <t>テンポウ</t>
  </si>
  <si>
    <t>しょうべんつまり</t>
  </si>
  <si>
    <t>小便閉・膀胱痙攣</t>
  </si>
  <si>
    <t>天行赤眼</t>
  </si>
  <si>
    <t>テンコウセキガン</t>
  </si>
  <si>
    <t>はやりめ</t>
  </si>
  <si>
    <t>急性結膜炎</t>
  </si>
  <si>
    <t>天行中風</t>
  </si>
  <si>
    <t>テンコウチュウフウ</t>
  </si>
  <si>
    <t>はやりかぜ</t>
  </si>
  <si>
    <t>インフルエンザ</t>
  </si>
  <si>
    <t>天泡瘡</t>
  </si>
  <si>
    <t>テンホウソウ</t>
  </si>
  <si>
    <t>うわやけ</t>
  </si>
  <si>
    <t>天疱瘡</t>
  </si>
  <si>
    <t>転■</t>
  </si>
  <si>
    <t>テンホウ</t>
  </si>
  <si>
    <t>さんごの小便つまり</t>
  </si>
  <si>
    <t>産後尿閉</t>
  </si>
  <si>
    <t>癜風</t>
  </si>
  <si>
    <t>デンプウ</t>
  </si>
  <si>
    <t>なまず</t>
  </si>
  <si>
    <t>黄斑</t>
  </si>
  <si>
    <t>桃花■</t>
  </si>
  <si>
    <t>トウカシュ</t>
  </si>
  <si>
    <t>ろうしょう</t>
  </si>
  <si>
    <t>紅顔肺労・載陽・奔馬性結核</t>
  </si>
  <si>
    <t>倒睫拳毛</t>
  </si>
  <si>
    <t>トウショウケンモウ</t>
  </si>
  <si>
    <t>さかさまつげ</t>
  </si>
  <si>
    <t>睫毛乱生症</t>
  </si>
  <si>
    <t>禿瘡</t>
  </si>
  <si>
    <t>トウソウ</t>
  </si>
  <si>
    <t>げじげじになめられた</t>
  </si>
  <si>
    <t>円形脱毛症・禿頭</t>
  </si>
  <si>
    <t>吐乳</t>
  </si>
  <si>
    <t>トニュウ</t>
  </si>
  <si>
    <t>ちちはくやまい</t>
  </si>
  <si>
    <t>小児慢性嘔吐</t>
  </si>
  <si>
    <t>妬乳</t>
  </si>
  <si>
    <t>ちちのはれもの</t>
  </si>
  <si>
    <t>乳房炎</t>
  </si>
  <si>
    <t>頓嗽</t>
  </si>
  <si>
    <t>トンソウ</t>
  </si>
  <si>
    <t>けいけいしやぶき</t>
  </si>
  <si>
    <t>百日咳・疫咳</t>
  </si>
  <si>
    <t>耳瘡</t>
  </si>
  <si>
    <t>ニソウ</t>
  </si>
  <si>
    <t>みみのなかのはれいたむ</t>
  </si>
  <si>
    <t>外聴道炎</t>
  </si>
  <si>
    <t>耳聤聹</t>
  </si>
  <si>
    <t>ニテイネイ</t>
  </si>
  <si>
    <t>みみあかのたまり</t>
  </si>
  <si>
    <t>耳垢</t>
  </si>
  <si>
    <t>乳疳</t>
  </si>
  <si>
    <t>ニュウカン</t>
  </si>
  <si>
    <t>ちとのはれもの</t>
  </si>
  <si>
    <t>乳頭砂裂</t>
  </si>
  <si>
    <t>乳巌</t>
  </si>
  <si>
    <t>ニュウガン</t>
  </si>
  <si>
    <t>にゅうがん</t>
  </si>
  <si>
    <t>乳癌</t>
  </si>
  <si>
    <t>乳閉</t>
  </si>
  <si>
    <t>ニュウヘイ</t>
  </si>
  <si>
    <t>ちちのですくなし</t>
  </si>
  <si>
    <t>乳汁不足症</t>
  </si>
  <si>
    <t>乳流</t>
  </si>
  <si>
    <t>ニュウル</t>
  </si>
  <si>
    <t>ちちのはりすぎ</t>
  </si>
  <si>
    <t>乳汁漏</t>
  </si>
  <si>
    <t>聹耳</t>
  </si>
  <si>
    <t>ネイニ</t>
  </si>
  <si>
    <t>みみだれ</t>
  </si>
  <si>
    <t>耳漏</t>
  </si>
  <si>
    <t>脳漏</t>
  </si>
  <si>
    <t>ノウロウ</t>
  </si>
  <si>
    <t>のうみそくさり</t>
  </si>
  <si>
    <t>前頭洞化膿症・脳軟化</t>
  </si>
  <si>
    <t>肺痿</t>
  </si>
  <si>
    <t>ハイイ</t>
  </si>
  <si>
    <t>はいしぼむ</t>
  </si>
  <si>
    <t>肺結核の１症</t>
  </si>
  <si>
    <t>梅核気</t>
  </si>
  <si>
    <t>バイカクキ</t>
  </si>
  <si>
    <t>梅のたねのどにあるごとき病</t>
  </si>
  <si>
    <t>食道ケイレン</t>
  </si>
  <si>
    <t>黴痔</t>
  </si>
  <si>
    <t>バイジ</t>
  </si>
  <si>
    <t>かさどく</t>
  </si>
  <si>
    <t>扁平コンジローム</t>
  </si>
  <si>
    <t>黴瘡</t>
  </si>
  <si>
    <t>バイソウ</t>
  </si>
  <si>
    <t>かさ</t>
  </si>
  <si>
    <t>梅毒</t>
  </si>
  <si>
    <t>肺脹</t>
  </si>
  <si>
    <t>ハイチョウ</t>
  </si>
  <si>
    <t>いきぎれする</t>
  </si>
  <si>
    <t>肺炎・喘息の類</t>
  </si>
  <si>
    <t>肺癰</t>
  </si>
  <si>
    <t>ハイヨウ</t>
  </si>
  <si>
    <t>はいのくされ</t>
  </si>
  <si>
    <t>肺臓膿瘍・肺壊疽</t>
  </si>
  <si>
    <t>白眼痛</t>
  </si>
  <si>
    <t>ハクガンツウ</t>
  </si>
  <si>
    <t>かさめ</t>
  </si>
  <si>
    <t>虹彩炎・網膜炎</t>
  </si>
  <si>
    <t>白癜風</t>
  </si>
  <si>
    <t>ハクデンプウ</t>
  </si>
  <si>
    <t>しろなまず</t>
  </si>
  <si>
    <t>白斑・白皮症</t>
  </si>
  <si>
    <t>白内障</t>
  </si>
  <si>
    <t>ハクナイショウ</t>
  </si>
  <si>
    <t>しろそこひ</t>
  </si>
  <si>
    <t>白禿風</t>
  </si>
  <si>
    <t>ハクトウフウ</t>
  </si>
  <si>
    <t>しらくも</t>
  </si>
  <si>
    <t>白癬</t>
  </si>
  <si>
    <t>白頂瘡</t>
  </si>
  <si>
    <t>ハクチョウソウ</t>
  </si>
  <si>
    <t>ふけ</t>
  </si>
  <si>
    <t>白癬屑</t>
  </si>
  <si>
    <t>破傷風</t>
  </si>
  <si>
    <t>ハショウフウ</t>
  </si>
  <si>
    <t>八脚蟲</t>
  </si>
  <si>
    <t>ハッキャクチュウ</t>
  </si>
  <si>
    <t>とびしらみ</t>
  </si>
  <si>
    <t>陰毛虱</t>
  </si>
  <si>
    <t>初内生虱</t>
  </si>
  <si>
    <t>ハツナイシツ</t>
  </si>
  <si>
    <t>あたまにしらみわく</t>
  </si>
  <si>
    <t>頭虱</t>
  </si>
  <si>
    <t>馬牙瘡</t>
  </si>
  <si>
    <t>バガソウ</t>
  </si>
  <si>
    <t>こうちゅうふざけ</t>
  </si>
  <si>
    <t>ジフテリー性口内炎</t>
  </si>
  <si>
    <t>馬脾風</t>
  </si>
  <si>
    <t>バヒフウ</t>
  </si>
  <si>
    <t>ばひふう</t>
  </si>
  <si>
    <t>咽喉ジフテリー</t>
  </si>
  <si>
    <t>半産</t>
  </si>
  <si>
    <t>ハンザン</t>
  </si>
  <si>
    <t>りゅうざん</t>
  </si>
  <si>
    <t>流産</t>
  </si>
  <si>
    <t>鼻淵</t>
  </si>
  <si>
    <t>ビエン</t>
  </si>
  <si>
    <t>はなうみのでるやまい</t>
  </si>
  <si>
    <t>上顎洞化膿症</t>
  </si>
  <si>
    <t>鼻痔</t>
  </si>
  <si>
    <t>ビジ</t>
  </si>
  <si>
    <t>はなたけ</t>
  </si>
  <si>
    <t>鼻茸</t>
  </si>
  <si>
    <t>脾胃虚</t>
  </si>
  <si>
    <t>ヒイキョ</t>
  </si>
  <si>
    <t>ひいのそんじ</t>
  </si>
  <si>
    <t>痿弱・アトニー・下垂症など</t>
  </si>
  <si>
    <t>脾疳</t>
  </si>
  <si>
    <t>ヒカン</t>
  </si>
  <si>
    <t>かんのむし</t>
  </si>
  <si>
    <t>小児痩削病・結核性腹膜炎</t>
  </si>
  <si>
    <t>脾腎瀉</t>
  </si>
  <si>
    <t>ヒジンシャ</t>
  </si>
  <si>
    <t>脾疼</t>
  </si>
  <si>
    <t>ヒトウ</t>
  </si>
  <si>
    <t>いのいたみ</t>
  </si>
  <si>
    <t>胃痙攣・胃酸過多症</t>
  </si>
  <si>
    <t>筆磬</t>
  </si>
  <si>
    <t>ヒッケイ</t>
  </si>
  <si>
    <t>ふしぶしのかたくなる</t>
  </si>
  <si>
    <t>関節硬直</t>
  </si>
  <si>
    <t>皮痺</t>
  </si>
  <si>
    <t>ヒヒ</t>
  </si>
  <si>
    <t>かわはだのしびれ</t>
  </si>
  <si>
    <t>皮膚知覚異常</t>
  </si>
  <si>
    <t>百合病</t>
  </si>
  <si>
    <t>ヒャクゴウビョウ</t>
  </si>
  <si>
    <t>とりとめなきやまい</t>
  </si>
  <si>
    <t>伝染病後精神衰弱状態</t>
  </si>
  <si>
    <t>白虎歴節風</t>
  </si>
  <si>
    <t>ビャッコレキセツフウ</t>
  </si>
  <si>
    <t>ふしぶしのはげしきいたみ</t>
  </si>
  <si>
    <t>急性多発性関節リウマチ</t>
  </si>
  <si>
    <t>風眼</t>
  </si>
  <si>
    <t>フウガン</t>
  </si>
  <si>
    <t>ふうがん</t>
  </si>
  <si>
    <t>膿漏眼</t>
  </si>
  <si>
    <t>風犬傷</t>
  </si>
  <si>
    <t>フウケンショ</t>
  </si>
  <si>
    <t>わるいいぬにかまれた病</t>
  </si>
  <si>
    <t>狂犬病・恐水病</t>
  </si>
  <si>
    <t>風舌強</t>
  </si>
  <si>
    <t>フウゼツキョウ</t>
  </si>
  <si>
    <t>したのしびれるやまい</t>
  </si>
  <si>
    <t>舌神経麻痺</t>
  </si>
  <si>
    <t>伏気死</t>
  </si>
  <si>
    <t>フクキシ</t>
  </si>
  <si>
    <t>あくきのどく</t>
  </si>
  <si>
    <t>伏梁</t>
  </si>
  <si>
    <t>フクリョウ</t>
  </si>
  <si>
    <t>さしこみ</t>
  </si>
  <si>
    <t>胃痙攣・心下の積塊</t>
  </si>
  <si>
    <t>附骨疽</t>
  </si>
  <si>
    <t>フコツソ</t>
  </si>
  <si>
    <t>ほねのくさるやまい</t>
  </si>
  <si>
    <t>骨壊疽</t>
  </si>
  <si>
    <t>フツソウ</t>
  </si>
  <si>
    <t>あせも</t>
  </si>
  <si>
    <t>汗疹</t>
  </si>
  <si>
    <t>壁虱</t>
  </si>
  <si>
    <t>ヘキシツ</t>
  </si>
  <si>
    <t>だに</t>
  </si>
  <si>
    <t>牛蝨</t>
  </si>
  <si>
    <t>癖嚢</t>
  </si>
  <si>
    <t>ヘキノウ</t>
  </si>
  <si>
    <t>むねつかえ</t>
  </si>
  <si>
    <t>慢性胃炎</t>
  </si>
  <si>
    <t>便血</t>
  </si>
  <si>
    <t>ベンケツ</t>
  </si>
  <si>
    <t>ちのくだるやまい</t>
  </si>
  <si>
    <t>腸出血・痔出血</t>
  </si>
  <si>
    <t>便濁</t>
  </si>
  <si>
    <t>ベンダク</t>
  </si>
  <si>
    <t>小便のにごるやまい</t>
  </si>
  <si>
    <t>腎炎・膀胱炎その他</t>
  </si>
  <si>
    <t>偏枯</t>
  </si>
  <si>
    <t>ヘンコ</t>
  </si>
  <si>
    <t>かたみしびれ</t>
  </si>
  <si>
    <t>半身不随・偏■</t>
  </si>
  <si>
    <t>偏視</t>
  </si>
  <si>
    <t>ヘンシ</t>
  </si>
  <si>
    <t>やぶにらみ</t>
  </si>
  <si>
    <t>斜視</t>
  </si>
  <si>
    <t>変蒸</t>
  </si>
  <si>
    <t>ヘンジョウ</t>
  </si>
  <si>
    <t>ちえねつ</t>
  </si>
  <si>
    <t>腺熱</t>
  </si>
  <si>
    <t>駢拇</t>
  </si>
  <si>
    <t>ヘンボ</t>
  </si>
  <si>
    <t>くつつきあいのゆび</t>
  </si>
  <si>
    <t>手指癒着</t>
  </si>
  <si>
    <t>疱瘡</t>
  </si>
  <si>
    <t>ホウソウ</t>
  </si>
  <si>
    <t>ほうそう・もがき</t>
  </si>
  <si>
    <t>天然痘</t>
  </si>
  <si>
    <t>崩漏</t>
  </si>
  <si>
    <t>ホウロウ</t>
  </si>
  <si>
    <t>ちくづれ</t>
  </si>
  <si>
    <t>子宮出血・子宮ガン</t>
  </si>
  <si>
    <t>奔豚気</t>
  </si>
  <si>
    <t>ホントンキ</t>
  </si>
  <si>
    <t>きしやく</t>
  </si>
  <si>
    <t>ヒステリー球・狭心症の１症</t>
  </si>
  <si>
    <t>暴瀉</t>
  </si>
  <si>
    <t>ボウシャ</t>
  </si>
  <si>
    <t>コレラの類</t>
  </si>
  <si>
    <t>反胃</t>
  </si>
  <si>
    <t>ホンイ</t>
  </si>
  <si>
    <t>あげる</t>
  </si>
  <si>
    <t>慢性嘔吐・胃ガンの類</t>
  </si>
  <si>
    <t>翻花瘡</t>
  </si>
  <si>
    <t>ホンカソウ</t>
  </si>
  <si>
    <t>髄様癌</t>
  </si>
  <si>
    <t>麻木</t>
  </si>
  <si>
    <t>マボク</t>
  </si>
  <si>
    <t>しびれ</t>
  </si>
  <si>
    <t>麻痺</t>
  </si>
  <si>
    <t>麻疹</t>
  </si>
  <si>
    <t>マシン</t>
  </si>
  <si>
    <t>はしか</t>
  </si>
  <si>
    <t>三日坊</t>
  </si>
  <si>
    <t>ミッカボウ</t>
  </si>
  <si>
    <t>夢洩精</t>
  </si>
  <si>
    <t>ムエイセイ</t>
  </si>
  <si>
    <t>夢精</t>
  </si>
  <si>
    <t>面痛</t>
  </si>
  <si>
    <t>メンツウ</t>
  </si>
  <si>
    <t>かおのいたみ</t>
  </si>
  <si>
    <t>三叉神経痛の類</t>
  </si>
  <si>
    <t>母多足</t>
  </si>
  <si>
    <t>モタアシ</t>
  </si>
  <si>
    <t>こえすね</t>
  </si>
  <si>
    <t>象皮病</t>
  </si>
  <si>
    <t>木舌</t>
  </si>
  <si>
    <t>モクゼツ</t>
  </si>
  <si>
    <t>したはれいたむ</t>
  </si>
  <si>
    <t>舌炎</t>
  </si>
  <si>
    <t>拗頸</t>
  </si>
  <si>
    <t>ヨウケイ</t>
  </si>
  <si>
    <t>くびまがり</t>
  </si>
  <si>
    <t>斜頚</t>
  </si>
  <si>
    <t>癰疽</t>
  </si>
  <si>
    <t>ヨウソ</t>
  </si>
  <si>
    <t>よう</t>
  </si>
  <si>
    <t>楊梅瘡</t>
  </si>
  <si>
    <t>ヨウバイソウ</t>
  </si>
  <si>
    <t>なんばがさ</t>
  </si>
  <si>
    <t>悪性梅毒発疹</t>
  </si>
  <si>
    <t>油風</t>
  </si>
  <si>
    <t>ユフウ</t>
  </si>
  <si>
    <t>やかんあたま</t>
  </si>
  <si>
    <t>禿頭</t>
  </si>
  <si>
    <t>落架風</t>
  </si>
  <si>
    <t>ラッカフウ</t>
  </si>
  <si>
    <t>あごのはずれ</t>
  </si>
  <si>
    <t>下顎脱臼</t>
  </si>
  <si>
    <t>爛弦風</t>
  </si>
  <si>
    <t>ランゲンフウ</t>
  </si>
  <si>
    <t>ただれ目</t>
  </si>
  <si>
    <t>眼瞼縁炎</t>
  </si>
  <si>
    <t>爛喉丹■</t>
  </si>
  <si>
    <t>ランコウタンシャ</t>
  </si>
  <si>
    <t>ジフテリアの類</t>
  </si>
  <si>
    <t>■黒斑</t>
  </si>
  <si>
    <t>リコクハン</t>
  </si>
  <si>
    <t>そばかす</t>
  </si>
  <si>
    <t>雀斑</t>
  </si>
  <si>
    <t>痢病</t>
  </si>
  <si>
    <t>リビョウ</t>
  </si>
  <si>
    <t>りびょう</t>
  </si>
  <si>
    <t>赤痢・大腸カタルの類</t>
  </si>
  <si>
    <t>瘰癧</t>
  </si>
  <si>
    <t>ルイレキ</t>
  </si>
  <si>
    <t>るいれき</t>
  </si>
  <si>
    <t>頚部リンパ腺結核</t>
  </si>
  <si>
    <t>類中風</t>
  </si>
  <si>
    <t>ルイチュウフウ</t>
  </si>
  <si>
    <t>ちゅうふう</t>
  </si>
  <si>
    <t>卒中様発作</t>
  </si>
  <si>
    <t>流注</t>
  </si>
  <si>
    <t>ルチュウ</t>
  </si>
  <si>
    <t>ふうどく</t>
  </si>
  <si>
    <t>流注膿瘍・淋巴管炎</t>
  </si>
  <si>
    <t>歴節風</t>
  </si>
  <si>
    <t>レキセツフウ</t>
  </si>
  <si>
    <t>ふしぶしのいたみ</t>
  </si>
  <si>
    <t>慢性関節リウマチ</t>
  </si>
  <si>
    <t>攣胎</t>
  </si>
  <si>
    <t>レンタイ</t>
  </si>
  <si>
    <t>ふたご。みつご</t>
  </si>
  <si>
    <t>多児出産</t>
  </si>
  <si>
    <t>労■</t>
  </si>
  <si>
    <t>ロウサイ</t>
  </si>
  <si>
    <t>ろうがい</t>
  </si>
  <si>
    <t>肺結核</t>
  </si>
  <si>
    <t>狼瘡</t>
  </si>
  <si>
    <t>ロウソウ</t>
  </si>
  <si>
    <t>■腿風</t>
  </si>
  <si>
    <t>ワイタイフウ</t>
  </si>
  <si>
    <t>あしなえよいよい</t>
  </si>
  <si>
    <t>脊髄労</t>
  </si>
  <si>
    <t>http://www.naoru.com/byoumei1.html　を参考引用</t>
  </si>
  <si>
    <t>2017/08/15アクセス</t>
    <phoneticPr fontId="1"/>
  </si>
  <si>
    <t>1887（明治20）　鍼灸備要　青山道醇</t>
  </si>
  <si>
    <t>あく　悪露不尽（あくろつきず）　さんごのおりもの　産蓐排泄</t>
  </si>
  <si>
    <t>い　胃翻（いほん）　あげる　慢性嘔吐</t>
  </si>
  <si>
    <t>い　遺尿　ねしやうべん　遺尿</t>
  </si>
  <si>
    <t>いん　瘖（えんあ）　おおし　いん唖</t>
  </si>
  <si>
    <t>いん　陰挺下脱、又、陰頽（たい）腫　なす　子宮脱出</t>
  </si>
  <si>
    <t>う　齲歯（うし）　むしくひば　歯牙潰瘍、又、朽歯、又、歯骨瘍</t>
  </si>
  <si>
    <t>うつ　欝証　きのふさぐ病　鬱憂病</t>
  </si>
  <si>
    <t>うん　温疫（うんえき）　えやみ、又、やくびやう　窒扶斯（チフス）</t>
  </si>
  <si>
    <t>お　悪阻（をそ）　つわり</t>
  </si>
  <si>
    <t>おう　嘔吐（ををと）　へとつく　嘔吐</t>
  </si>
  <si>
    <t>おう　横産　よこざん　横位出産</t>
  </si>
  <si>
    <t>おう　黄疸（わうだん）　きばむ病　肝臓胆液充積症</t>
  </si>
  <si>
    <t>おう　黄胖（はん）　あをのやまひ　萎黄病</t>
  </si>
  <si>
    <t>かく　咯血（かくけつ）（＝喀血）　俄（にわか）に血を吐く病　肺臓出血、又、肺出血</t>
  </si>
  <si>
    <t>かく　脚気（かくけ）　あしのけ　脚気</t>
  </si>
  <si>
    <t>かく　膈証（かくしよう）　かくのやまい　食道狭窄</t>
  </si>
  <si>
    <t>かく　霍乱（くわくらん）　しりより口よりこくやまい　特発虎列剌（とくはつコレラ）</t>
  </si>
  <si>
    <t>かん　乾嘔（かんのを）　からへづき　乾嘔、又、仮嘔（かをを）</t>
  </si>
  <si>
    <t>が　牙齦（しぎん）腫痛　歯ぐきのはれて痛む病　歯齦炎</t>
  </si>
  <si>
    <t>が　鵞（が）口　しろした　鵞口瘡</t>
  </si>
  <si>
    <t>がい　咳嗽声破（こえやぶる）　しやがらごへ　咳嗽嗄嘶（せいさ）</t>
  </si>
  <si>
    <t>がい　咳嗽（がいそう）　しわぶき、又、せき　咳嗽</t>
  </si>
  <si>
    <t>がい　咳血（がいけつ）　咳につれて痰血の出る病　気管支出血</t>
  </si>
  <si>
    <t>がく　額前（かくせん）痛　ひたいのいたむ病　前額神経痛</t>
  </si>
  <si>
    <t>き　喜忘（きぼう）　とわすれ</t>
  </si>
  <si>
    <t>き　鬼魘（きえん）　おそわるる　魘夢（えんむ）</t>
  </si>
  <si>
    <t>きょ　虚労（きよろう）　らうしやう、又、よわみ　虚衰病</t>
  </si>
  <si>
    <t>きょう　狂（きよう）　らんしんもの、又、ものくるい　癲狂病、又、狂疾</t>
  </si>
  <si>
    <t>きょう　胸痛　むねのいたみ　胸膜炎</t>
  </si>
  <si>
    <t>きょう　胸肋痛　あばらぼねのいたむ病　肋間神経痛</t>
  </si>
  <si>
    <t>きょう　驚風　小児のひきつける病　小児ちく溺（ちくでき）</t>
  </si>
  <si>
    <t>ぎゃく　瘧母（ぎやくも）　をこりのかたまり　脾臓肥大</t>
  </si>
  <si>
    <t>ぎゃく　瘧疾（きやくしつ）　をこり　間歇熱</t>
  </si>
  <si>
    <t>けい　痙病（けいびやう）　そりのやまい　強直痙攣</t>
  </si>
  <si>
    <t>けつ　血痔　はしりち　痔血、又、出血痔</t>
  </si>
  <si>
    <t>けん　健忘（けんぼう）　気ぬけ、又、ものわすれ　健忘</t>
  </si>
  <si>
    <t>けん　痃癖卒痛（げんへきそつつう）　はやうちかた　心胸神経痛</t>
  </si>
  <si>
    <t>けん　肩痛</t>
  </si>
  <si>
    <t>げ　解顱（げろ・かいろ）　はちひらく　腫水腫</t>
  </si>
  <si>
    <t>げつ　月信痛　つぎむし、又、いんばらむし　月経困難</t>
  </si>
  <si>
    <t>げつ　月水不通　めぐりとまる　月経閉止</t>
  </si>
  <si>
    <t>げつ　月水過多　めぐりのことにつよきもの</t>
  </si>
  <si>
    <t>げつ　月経不順　つきのものふめぐり　月経変調</t>
  </si>
  <si>
    <t>げん　眩運　（けんうん）（＝眩暈）　めまい、又、たちぐらみ　眩暈（けんうん）、又、頭旋（づせん）</t>
  </si>
  <si>
    <t>こう　口眼喎斜（こうがんくわしゃ）　くちゆかむ</t>
  </si>
  <si>
    <t>こう　口糜（こうび）　こうねつ　加多児（カタル）性口内炎</t>
  </si>
  <si>
    <t>こう　喉痺　こうひ　扁桃腺炎</t>
  </si>
  <si>
    <t>こう　喉風（こうふう）　のどけ　咽喉加多児（カタル）</t>
  </si>
  <si>
    <t>さい　臍風撮口（さいふうさつこう）　つぼくち　又、ほほづきむし　小児強直痙攣</t>
  </si>
  <si>
    <t>さん　産後血暈　産後のちのぼり</t>
  </si>
  <si>
    <t>し　子宮病　こぶくろのいたむやまひ　子宮刺激</t>
  </si>
  <si>
    <t>し　歯牙（しげ）痛　歯の痛む病　歯神経痛</t>
  </si>
  <si>
    <t>しつ　失精　もうそう　遺精</t>
  </si>
  <si>
    <t>しゃく　積聚（しやくじゅ）　しゃくじゅ　印華爾屈篤（インハルクト）</t>
  </si>
  <si>
    <t>しゅ　酒皶鼻（しゅさび）　にきみはな、又、ざくろはな　さ鼻（さび）</t>
  </si>
  <si>
    <t>しょう　傷寒（しやうかん）　ねつのあるやまい　熱病</t>
  </si>
  <si>
    <t>しょう　小便不禁　小便にくくりのなくなる病　膀胱括約筋麻痺</t>
  </si>
  <si>
    <t>しょう　小便不通　小便つまり　尿閉</t>
  </si>
  <si>
    <t>しょう　小児瘈瘲（けいしょう）　そりかへる　角弓反張</t>
  </si>
  <si>
    <t>しょう　小児夜啼（やてい）　よなき</t>
  </si>
  <si>
    <t>しょう　小児瀉泄　くだりはら　腸加多児（カタル）</t>
  </si>
  <si>
    <t>しょう　小児脱肛　しりいつるやまひ　直腸脱</t>
  </si>
  <si>
    <t>しょう　小児遺尿　ねしやうべん　遺尿</t>
  </si>
  <si>
    <t>しょく　食傷　しよくあたり　急性胃加多児（カタル）</t>
  </si>
  <si>
    <t>しん　心痛、又、胸痛　むねいたみ　心臓内膜炎</t>
  </si>
  <si>
    <t>しん　心風　きうつ　喜斯底里（キステリ）</t>
  </si>
  <si>
    <t>しん　真頭痛（しんづつう）　あたまのさけるほどいたむ病　脳膜炎</t>
  </si>
  <si>
    <t>じ　痔漏　ちらう　肛門瘻（ろう）</t>
  </si>
  <si>
    <t>じ　痔病　ぢのやまひ、又、しりのやまひ　痔疾</t>
  </si>
  <si>
    <t>じ　耳痛（につう）　みみいたみ　耳神経痛</t>
  </si>
  <si>
    <t>じ　耳聾（にろう）　みみしひ　聴覚完失</t>
  </si>
  <si>
    <t>じ　耳鳴（にめい）　みみなり　耳神経痛</t>
  </si>
  <si>
    <t>じ　自汗盗汗（じかんとうかん）　ひあせ、又、ねあせ　多汗症</t>
  </si>
  <si>
    <t>じく　衄血（じゆつけつ）　はなち　鼻孔出血</t>
  </si>
  <si>
    <t>じゃく　雀目（じゃくもく）　とりめ　夜盲、又、晩盲</t>
  </si>
  <si>
    <t>じゅう　重舌（舌下生小舌也）　こじた　舌下軟瘤（なんりう）</t>
  </si>
  <si>
    <t>すい　水気（すいき）　はれやみ　水腫（すいしゅ）病</t>
  </si>
  <si>
    <t>ず　頭痛　づつう　脳充血</t>
  </si>
  <si>
    <t>せい　星翳（せいえい）　めぼし　角膜翳（かくまくえい）</t>
  </si>
  <si>
    <t>せつ　泄瀉（せつしや）　くだりはら　腸加多児（カタル）</t>
  </si>
  <si>
    <t>せん　疝気　せんき、又、あたはら　腸神経痛</t>
  </si>
  <si>
    <t>ぜつ　舌強（したこわ）る</t>
  </si>
  <si>
    <t>ぜつ　舌緩（ゆるむ）</t>
  </si>
  <si>
    <t>ぜつ　舌腫　舌はれて痛む病　舌炎、又、舌きん（ぜつきん）</t>
  </si>
  <si>
    <t>ぜん　前陰腫痛　まへのはれていたむやまひ　太陰唇結締織炎</t>
  </si>
  <si>
    <t>そく　息胞　いなひかえる　胞衣不下</t>
  </si>
  <si>
    <t>そつ　卒中風（そつちうふ）　そつちう　全発卒中</t>
  </si>
  <si>
    <t>そつ　卒死客忤（ソツシカクゴ）　とんし　卒死</t>
  </si>
  <si>
    <t>ぞう　蔵躁病　しきうしやく　子宮痙攣</t>
  </si>
  <si>
    <t>たい　帯下　白帯下（はくたいげ）　しらち、又、こしけ　子宮粘膜炎</t>
  </si>
  <si>
    <t>たい　帯下　赤（しゃく）帯下　ながち　陰膣粘膜炎</t>
  </si>
  <si>
    <t>たん　痰飲（たんいん）　りうゐん、又、むねつかへ　慢性加多児（カタル）性胃炎</t>
  </si>
  <si>
    <t>だ　唾血（だけつ）　唾（つば）に交りて血の出る病　口内出血</t>
  </si>
  <si>
    <t>だい　大便秘結　ふんつまり　大便不通</t>
  </si>
  <si>
    <t>だつ　脱肛　だつこ　直腸脱</t>
  </si>
  <si>
    <t>ちゅう　虫証　むしのわく病　虫症</t>
  </si>
  <si>
    <t>ちょう　癥瘕（ちょうか）　ふる血のかたまり　子宮血塊</t>
  </si>
  <si>
    <t>ちょう　脹満（ちやうまん）　ちやうまん　腹水</t>
  </si>
  <si>
    <t>てい　聤耳（ていに）　みみだり　耳道加多児（カタル）</t>
  </si>
  <si>
    <t>てん　天行中風（てんこうちうふう）　はやりかせ　流行性感冒</t>
  </si>
  <si>
    <t>てん　天行赤眼（てんかうしやくぐわん）　はやりめ、又、やみめ　結膜炎</t>
  </si>
  <si>
    <t>てん　癲癇</t>
  </si>
  <si>
    <t>てん　転ふ（てんふ）　さんごしやうべんつまり　産後尿閉</t>
  </si>
  <si>
    <t>てん　転筋（てんきん）　すじつまり　局発痙攣</t>
  </si>
  <si>
    <t>と　吐乳（とにう）　ちちをもどす　小児慢性嘔吐</t>
  </si>
  <si>
    <t>と　吐舌（又云、弄舌）　舌のながき病、又、方言ながべろ　舌肥大</t>
  </si>
  <si>
    <t>と　吐血　血へどを吐く病　胃出血</t>
  </si>
  <si>
    <t>とう　倒産　さかご　逆産</t>
  </si>
  <si>
    <t>とう　倒睫拳毛（たうせうけんもう）　さかまつげ　睫毛内刺（せうもうなへし）</t>
  </si>
  <si>
    <t>ど　妬（ど）乳　ちぶ　乳房炎</t>
  </si>
  <si>
    <t>なん　難産　むつかしきさん　難産</t>
  </si>
  <si>
    <t>にゅう　乳痛　ちぶさのいたむやまひ　乳房神経痛</t>
  </si>
  <si>
    <t>にゅう　乳癰　ちぶ　乳房膿腫</t>
  </si>
  <si>
    <t>にゅう　乳閉　ちちのへるやまひ　乳少</t>
  </si>
  <si>
    <t>にょう　尿血　小便に血の交りて出る病　腎臓出血</t>
  </si>
  <si>
    <t>はい　背脊（はいせき）痛　せほねのいたむ病　脊髄炎</t>
  </si>
  <si>
    <t>ば　馬脾風（ばひふう）　ばひふう　格魯布（コロウブ）（＝コロフ）　→クループ性肺炎</t>
  </si>
  <si>
    <t>ひ　痺疳（ひかん）　おとみやみ　腸及腸間膜腺瘰癧及結核</t>
  </si>
  <si>
    <t>ひ　臂痛（ひつう）　ひじのいたむ病　臂節（ひせつ）神経痛</t>
  </si>
  <si>
    <t>ひゃく　百日咳　くづめき、又、けいけいしやぶき　痙攣がい</t>
  </si>
  <si>
    <t>び　鼻淵　びえん　慢性鼻竅炎</t>
  </si>
  <si>
    <t>び　鼻痔（びぢ）　はなたけ　鼻粘膜贅肉（ぜいにく）</t>
  </si>
  <si>
    <t>びゃく　白虎歴節風（びやくこれきせつふう）　ふしふしのはげしくいたむ病　急性関節僂麻質斯（リウマチス）</t>
  </si>
  <si>
    <t>ふ　不仁　かわはだのしびれ　知覚減少</t>
  </si>
  <si>
    <t>ふ　婦人淋疾　しやうかち　婦人尿道加多児（カタル）</t>
  </si>
  <si>
    <t>ふう　風湿痛風　ふうしつつうふう　僂麻質斯（リウマチス）</t>
  </si>
  <si>
    <t>へん　偏枯（へんこ）　かたみしびれ　半身麻痺</t>
  </si>
  <si>
    <t>へん　偏頭痛（へんづつう）　かたづつう　偏頭神経痛</t>
  </si>
  <si>
    <t>べん　便血　血の下る病　腸出血</t>
  </si>
  <si>
    <t>ほう　崩漏（ほうろう）　ちくだれ、又、ちおり　子宮出血、又、子宮血崩</t>
  </si>
  <si>
    <t>ま　麻木（まぼく）　しびれ　麻痺病</t>
  </si>
  <si>
    <t>む　無子（むし）　こなし　不孕病（ふようびょう）</t>
  </si>
  <si>
    <t>めん　面痛（めんつう）　かほのいたむ病　顔面神経痛</t>
  </si>
  <si>
    <t>よう　腰痛　こしのいたむ病　腰神経痛</t>
  </si>
  <si>
    <t>らん　燗眼風（らんかんふう）　ただきめ　眼瞼縁炎</t>
  </si>
  <si>
    <t>り　痢病（りびやう）　赤痢をちぐそと云、白痢をなめと云　赤痢、又、痢疾</t>
  </si>
  <si>
    <t>りん　淋病　しはゆばり、又、りんひやう　淋疾、又、淋</t>
  </si>
  <si>
    <t>ろう　労瘵　らうしゆう　肺労</t>
  </si>
  <si>
    <t>えつ　噦逆（えつぎゃく）　さくり　吃逆（きつぎやく）、又、横膈筋痙攣</t>
    <rPh sb="3" eb="4">
      <t>エツ</t>
    </rPh>
    <phoneticPr fontId="1"/>
  </si>
  <si>
    <t>リンク　↓</t>
  </si>
  <si>
    <t>病名彙解</t>
  </si>
  <si>
    <t>凡例</t>
  </si>
  <si>
    <t>目録</t>
  </si>
  <si>
    <t>●●　巻之一</t>
  </si>
  <si>
    <t>以部</t>
  </si>
  <si>
    <t>波部</t>
  </si>
  <si>
    <t>呂部</t>
  </si>
  <si>
    <t>仁部</t>
  </si>
  <si>
    <t>辺部</t>
  </si>
  <si>
    <t>保部</t>
  </si>
  <si>
    <t>●●　巻之二</t>
  </si>
  <si>
    <t>土部</t>
  </si>
  <si>
    <t>知部</t>
  </si>
  <si>
    <t>利部</t>
  </si>
  <si>
    <t>奴部</t>
  </si>
  <si>
    <t>和部</t>
  </si>
  <si>
    <t>加部</t>
  </si>
  <si>
    <t>遠部</t>
  </si>
  <si>
    <t>留部</t>
  </si>
  <si>
    <t>●●　巻之三</t>
  </si>
  <si>
    <t>与部</t>
  </si>
  <si>
    <t>太部</t>
  </si>
  <si>
    <t>曽部</t>
  </si>
  <si>
    <t>礼部</t>
  </si>
  <si>
    <t>奈部</t>
  </si>
  <si>
    <t>津部</t>
  </si>
  <si>
    <t>禰部</t>
  </si>
  <si>
    <t>為部</t>
  </si>
  <si>
    <t>宇部</t>
  </si>
  <si>
    <t>無部</t>
  </si>
  <si>
    <t>良部</t>
  </si>
  <si>
    <t>●●　巻之四</t>
  </si>
  <si>
    <t>乃部</t>
  </si>
  <si>
    <t>久部</t>
  </si>
  <si>
    <t>於部</t>
  </si>
  <si>
    <t>●●　巻之五</t>
  </si>
  <si>
    <t>末部</t>
  </si>
  <si>
    <t>也部</t>
  </si>
  <si>
    <t>計部</t>
  </si>
  <si>
    <t>不部</t>
  </si>
  <si>
    <t>己部</t>
  </si>
  <si>
    <t>江部</t>
  </si>
  <si>
    <t>左部</t>
  </si>
  <si>
    <t>安部</t>
  </si>
  <si>
    <t>●●　巻之六</t>
  </si>
  <si>
    <t>天部</t>
  </si>
  <si>
    <t>幾部</t>
  </si>
  <si>
    <t>由部</t>
  </si>
  <si>
    <t>女部</t>
  </si>
  <si>
    <t>志部</t>
  </si>
  <si>
    <t>美部</t>
  </si>
  <si>
    <t>●●　巻之七</t>
  </si>
  <si>
    <t>比部</t>
  </si>
  <si>
    <t>恵部</t>
  </si>
  <si>
    <t>毛部</t>
  </si>
  <si>
    <t>世部</t>
  </si>
  <si>
    <t>寸部</t>
  </si>
  <si>
    <t>●　以部</t>
  </si>
  <si>
    <t>𩚚逆（呃・𩚬に同じ）</t>
  </si>
  <si>
    <t>胃反</t>
  </si>
  <si>
    <t>胃風</t>
  </si>
  <si>
    <t>胃泄</t>
  </si>
  <si>
    <t>胃癰</t>
  </si>
  <si>
    <t>飲痛</t>
  </si>
  <si>
    <t>胃瘧</t>
  </si>
  <si>
    <t>遺毒</t>
  </si>
  <si>
    <t>遺溺</t>
  </si>
  <si>
    <t>溢飲</t>
  </si>
  <si>
    <t>飲注</t>
  </si>
  <si>
    <t>痿躄</t>
  </si>
  <si>
    <t>陰尸</t>
  </si>
  <si>
    <t>陰陽易病</t>
  </si>
  <si>
    <t>陰汗</t>
  </si>
  <si>
    <t>陰黄</t>
  </si>
  <si>
    <t>陰瘡</t>
  </si>
  <si>
    <t>陰蝕瘡</t>
  </si>
  <si>
    <t>陰嚢癰</t>
  </si>
  <si>
    <t>陰疽</t>
  </si>
  <si>
    <t>陰毒</t>
  </si>
  <si>
    <t>陰㿗</t>
  </si>
  <si>
    <t>陰蝨</t>
  </si>
  <si>
    <t>陰陽疽</t>
  </si>
  <si>
    <t>陰冷</t>
  </si>
  <si>
    <t>陰挺（并：陰脱）</t>
  </si>
  <si>
    <t>陰痒（并：陰痛）</t>
  </si>
  <si>
    <t>陰腫</t>
  </si>
  <si>
    <t>咽喉垂倒</t>
  </si>
  <si>
    <t>咽喉瘡</t>
  </si>
  <si>
    <t>伊火丹</t>
  </si>
  <si>
    <t>頤頦瘡</t>
  </si>
  <si>
    <t>瘖瘂</t>
  </si>
  <si>
    <t>陰翻</t>
  </si>
  <si>
    <t>陰㿉気</t>
  </si>
  <si>
    <t>陰臭</t>
  </si>
  <si>
    <t>咽喉不利</t>
  </si>
  <si>
    <t>逸風瘡</t>
  </si>
  <si>
    <t>陰血</t>
  </si>
  <si>
    <t>一葦航海</t>
  </si>
  <si>
    <t>一石米瘡</t>
  </si>
  <si>
    <t>飲瘥</t>
  </si>
  <si>
    <t>癮疹</t>
  </si>
  <si>
    <t>陰虚火動</t>
  </si>
  <si>
    <t>漏瘡</t>
  </si>
  <si>
    <t>一把縛</t>
  </si>
  <si>
    <t>●　呂部</t>
  </si>
  <si>
    <t>胃絶肺敗</t>
  </si>
  <si>
    <t>※　【胃禁（水禁附此）】目録にはあるが当該ページには無し</t>
  </si>
  <si>
    <t>螻蛄漏</t>
  </si>
  <si>
    <t>漏胎</t>
  </si>
  <si>
    <t>螻蛄串</t>
  </si>
  <si>
    <t>弄胎（弄痛　同）</t>
  </si>
  <si>
    <t>漏下</t>
  </si>
  <si>
    <t>漏帯</t>
  </si>
  <si>
    <t>漏風</t>
  </si>
  <si>
    <t>露𤷍</t>
  </si>
  <si>
    <t>露敗瘡</t>
  </si>
  <si>
    <t>漏精</t>
  </si>
  <si>
    <t>漏腋</t>
  </si>
  <si>
    <t>弄舌</t>
  </si>
  <si>
    <t>路岐</t>
  </si>
  <si>
    <t>轆轤晨睛</t>
  </si>
  <si>
    <t>驢觜風</t>
  </si>
  <si>
    <t>漏漿</t>
  </si>
  <si>
    <t>鸕鷀瘟</t>
  </si>
  <si>
    <t>漏気</t>
  </si>
  <si>
    <t>●　波部</t>
  </si>
  <si>
    <t>肺風</t>
  </si>
  <si>
    <t>馬刀癧</t>
  </si>
  <si>
    <t>潘唇</t>
  </si>
  <si>
    <t>白遊風</t>
  </si>
  <si>
    <t>白駁風</t>
  </si>
  <si>
    <t>白蛇纏</t>
  </si>
  <si>
    <t>馬毒入瘡</t>
  </si>
  <si>
    <t>馬喉痺</t>
  </si>
  <si>
    <t>馬皮癬</t>
  </si>
  <si>
    <t>馬癇</t>
  </si>
  <si>
    <t>梅花疙</t>
  </si>
  <si>
    <t>白屑風</t>
  </si>
  <si>
    <t>白頭瘡</t>
  </si>
  <si>
    <t>白丹</t>
  </si>
  <si>
    <t>白刃疔</t>
  </si>
  <si>
    <t>白蟻瘡</t>
  </si>
  <si>
    <t>白崩</t>
  </si>
  <si>
    <t>白珠子</t>
  </si>
  <si>
    <t>廃竈火丹</t>
  </si>
  <si>
    <t>白気微泄</t>
  </si>
  <si>
    <t>抜歯損</t>
  </si>
  <si>
    <t>白赤眼</t>
  </si>
  <si>
    <t>八脚虫</t>
  </si>
  <si>
    <t>白婆瘼</t>
  </si>
  <si>
    <t>蟠蛇癧</t>
  </si>
  <si>
    <t>胖病</t>
  </si>
  <si>
    <t>肺労</t>
  </si>
  <si>
    <t>破傷湿</t>
  </si>
  <si>
    <t>敗疵</t>
  </si>
  <si>
    <t>㾦㿔</t>
  </si>
  <si>
    <t>盤腸痛</t>
  </si>
  <si>
    <t>盤疝</t>
  </si>
  <si>
    <t>板黄痘</t>
  </si>
  <si>
    <t>髪癥</t>
  </si>
  <si>
    <t>背僂</t>
  </si>
  <si>
    <t>発洪</t>
  </si>
  <si>
    <t>髪瘤</t>
  </si>
  <si>
    <t>盤腸産</t>
  </si>
  <si>
    <t>髪黄</t>
  </si>
  <si>
    <t>胞疸</t>
  </si>
  <si>
    <t>発猪癇</t>
  </si>
  <si>
    <t>胞転</t>
  </si>
  <si>
    <t>発暴</t>
  </si>
  <si>
    <t>発頤</t>
  </si>
  <si>
    <t>発鶏風</t>
  </si>
  <si>
    <t>番胃</t>
  </si>
  <si>
    <t>晩発</t>
  </si>
  <si>
    <t>馬瓜瘡</t>
  </si>
  <si>
    <t>斑班毒</t>
  </si>
  <si>
    <t>白癜</t>
  </si>
  <si>
    <t>髪泉</t>
  </si>
  <si>
    <t>斑毒</t>
  </si>
  <si>
    <t>斑疹</t>
  </si>
  <si>
    <t>白疽</t>
  </si>
  <si>
    <t>馬馳剣道</t>
  </si>
  <si>
    <t>破甕澄漿</t>
  </si>
  <si>
    <t>番腸気</t>
  </si>
  <si>
    <t>髮際瘡</t>
  </si>
  <si>
    <t>八瘕</t>
  </si>
  <si>
    <t>薄皮瘡</t>
  </si>
  <si>
    <t>白沃</t>
  </si>
  <si>
    <t>耳聾</t>
  </si>
  <si>
    <t>尿血</t>
  </si>
  <si>
    <t>●　仁部</t>
  </si>
  <si>
    <t>尿床</t>
  </si>
  <si>
    <t>梅花翳</t>
  </si>
  <si>
    <t>※【白痘（天瘡附之）】目録あるも当該ページに無し</t>
  </si>
  <si>
    <t>破㬷</t>
  </si>
  <si>
    <t>馬𤷍串流（附：馬㾮）</t>
  </si>
  <si>
    <t>尿精</t>
  </si>
  <si>
    <t>尿竈火丹</t>
  </si>
  <si>
    <t>耳蕈（并：耳痔）</t>
  </si>
  <si>
    <t>乳懸</t>
  </si>
  <si>
    <t>耳湿</t>
  </si>
  <si>
    <t>乳鵝</t>
  </si>
  <si>
    <t>耳風（并：耳疳）</t>
  </si>
  <si>
    <t>肉亀</t>
  </si>
  <si>
    <t>乳腫</t>
  </si>
  <si>
    <t>肉刺</t>
  </si>
  <si>
    <t>乳結核</t>
  </si>
  <si>
    <t>乳癇</t>
  </si>
  <si>
    <t>乳岩</t>
  </si>
  <si>
    <t>乳癰（并：乳瘻）</t>
  </si>
  <si>
    <t>肉裂</t>
  </si>
  <si>
    <t>肉瘤（并：肉瘻）</t>
  </si>
  <si>
    <t>肉極</t>
  </si>
  <si>
    <t>肉錐</t>
  </si>
  <si>
    <t>二形</t>
  </si>
  <si>
    <t>肉壊</t>
  </si>
  <si>
    <t>肉人</t>
  </si>
  <si>
    <t>乳嗽</t>
  </si>
  <si>
    <t>※【耳疔（疔瘡附之）】目録にはあるが当該ページに無し</t>
  </si>
  <si>
    <t>乳泣</t>
  </si>
  <si>
    <t>耳発疽</t>
  </si>
  <si>
    <t>耳根毒</t>
  </si>
  <si>
    <t>●　保部</t>
  </si>
  <si>
    <t>肉線</t>
  </si>
  <si>
    <t>肉瘕</t>
  </si>
  <si>
    <t>飜胃</t>
  </si>
  <si>
    <t>暴火丹</t>
  </si>
  <si>
    <t>発背</t>
  </si>
  <si>
    <t>崩漏（血崩 崩中 並に同じ）</t>
  </si>
  <si>
    <t>蜂窠発</t>
  </si>
  <si>
    <t>蜂子毒</t>
  </si>
  <si>
    <t>報痘</t>
  </si>
  <si>
    <t>哺露疳</t>
  </si>
  <si>
    <t>崩砂耳口風</t>
  </si>
  <si>
    <t>犯風噤</t>
  </si>
  <si>
    <t>疿痤瘡</t>
  </si>
  <si>
    <t>犯土腫</t>
  </si>
  <si>
    <t>蜂漏</t>
  </si>
  <si>
    <t>牡瘧</t>
  </si>
  <si>
    <t>牡痔</t>
  </si>
  <si>
    <t>放標</t>
  </si>
  <si>
    <t>母痘</t>
  </si>
  <si>
    <t>賁豚（或作奔豚）</t>
  </si>
  <si>
    <t>犯丁瘡腫</t>
  </si>
  <si>
    <t>犯丁瘡</t>
  </si>
  <si>
    <t>蜂螫</t>
  </si>
  <si>
    <t>発乳</t>
  </si>
  <si>
    <t>犯丁腫</t>
  </si>
  <si>
    <t>蜂窠瘡</t>
  </si>
  <si>
    <t>暴癥</t>
  </si>
  <si>
    <t>飜花瘡</t>
  </si>
  <si>
    <t>奔気</t>
  </si>
  <si>
    <t>蜂窠癧</t>
  </si>
  <si>
    <t>犯黄</t>
  </si>
  <si>
    <t>皰（＝にきび）</t>
  </si>
  <si>
    <t>乏気</t>
  </si>
  <si>
    <t>木腎</t>
  </si>
  <si>
    <t>発沙病</t>
  </si>
  <si>
    <t>沸子</t>
  </si>
  <si>
    <t>龐竈丹</t>
  </si>
  <si>
    <t>沸爛瘡</t>
  </si>
  <si>
    <t>冒風</t>
  </si>
  <si>
    <t>反戻</t>
  </si>
  <si>
    <t>発班</t>
  </si>
  <si>
    <t>鳳眉疽</t>
  </si>
  <si>
    <t>翻空痘</t>
  </si>
  <si>
    <t>鶩溏</t>
  </si>
  <si>
    <t>発熱血</t>
  </si>
  <si>
    <t>崩砂脱口風</t>
  </si>
  <si>
    <t>蜂疽</t>
  </si>
  <si>
    <t>■（疒+旁）疽</t>
  </si>
  <si>
    <t>●　辺部</t>
  </si>
  <si>
    <t>犯奪天梯</t>
  </si>
  <si>
    <t>便毒</t>
  </si>
  <si>
    <t>※【望痘（天瘡附之）】目録あるも当該ページ無し</t>
  </si>
  <si>
    <t>便癰</t>
  </si>
  <si>
    <t>米疽</t>
  </si>
  <si>
    <t>騙馬墜</t>
  </si>
  <si>
    <t>癖疾</t>
  </si>
  <si>
    <t>反張</t>
  </si>
  <si>
    <t>擘蟹毒</t>
  </si>
  <si>
    <t>偏墜</t>
  </si>
  <si>
    <t>偏産</t>
  </si>
  <si>
    <t>閉癃</t>
  </si>
  <si>
    <t>米癥</t>
  </si>
  <si>
    <t>偏風</t>
  </si>
  <si>
    <t>鼈瘕</t>
  </si>
  <si>
    <t>鼈癥</t>
  </si>
  <si>
    <t>瘭疽</t>
  </si>
  <si>
    <t>眇目</t>
  </si>
  <si>
    <t>癖飲</t>
  </si>
  <si>
    <t>偏頭痛</t>
  </si>
  <si>
    <t>䐔病</t>
  </si>
  <si>
    <t>癖石</t>
  </si>
  <si>
    <t>熛火丹</t>
  </si>
  <si>
    <t>碧翳</t>
  </si>
  <si>
    <t>熛瘡</t>
  </si>
  <si>
    <t>標叔疽</t>
  </si>
  <si>
    <t>●　土部</t>
  </si>
  <si>
    <t>併病</t>
  </si>
  <si>
    <t>痘瘡</t>
  </si>
  <si>
    <t>呑酸（吐酸　噫気　嘈囃　悪心）</t>
  </si>
  <si>
    <t>痘疔</t>
  </si>
  <si>
    <t>痘癰</t>
  </si>
  <si>
    <t>吐血（并：嘔血）</t>
  </si>
  <si>
    <t>痘風</t>
  </si>
  <si>
    <t>吐酸</t>
  </si>
  <si>
    <t>吐哯</t>
  </si>
  <si>
    <t>吐舌（并：弄舌）</t>
  </si>
  <si>
    <t>吐痢</t>
  </si>
  <si>
    <t>遁尸</t>
  </si>
  <si>
    <t>洞泄</t>
  </si>
  <si>
    <t>吐逆</t>
  </si>
  <si>
    <t>凍風</t>
  </si>
  <si>
    <t>吐瀉</t>
  </si>
  <si>
    <t>臀癰</t>
  </si>
  <si>
    <t>土注</t>
  </si>
  <si>
    <t>毒注</t>
  </si>
  <si>
    <t>遁注</t>
  </si>
  <si>
    <t>敦疽</t>
  </si>
  <si>
    <t>獨骨瘡</t>
  </si>
  <si>
    <t>特疽発</t>
  </si>
  <si>
    <t>兎齧</t>
  </si>
  <si>
    <t>努肉</t>
  </si>
  <si>
    <t>凍死</t>
  </si>
  <si>
    <t>登豆瘡</t>
  </si>
  <si>
    <t>盗汗（＝寝汗）</t>
  </si>
  <si>
    <t>兎欠</t>
  </si>
  <si>
    <t>土風瘡</t>
  </si>
  <si>
    <t>透脳疽</t>
  </si>
  <si>
    <t>斗底瘋</t>
  </si>
  <si>
    <t>吐蚘</t>
  </si>
  <si>
    <t>毒腫</t>
  </si>
  <si>
    <t>凍爛腫瘡</t>
  </si>
  <si>
    <t>榻著毒</t>
  </si>
  <si>
    <t>刀鎌疔</t>
  </si>
  <si>
    <t>肚瘥</t>
  </si>
  <si>
    <t>通睛（＝やぶにらみ）</t>
  </si>
  <si>
    <t>搭腮腫</t>
  </si>
  <si>
    <t>透腸疔</t>
  </si>
  <si>
    <t>刀癬</t>
  </si>
  <si>
    <t>痘子</t>
  </si>
  <si>
    <t>檮杌痘</t>
  </si>
  <si>
    <t>妒精瘡</t>
  </si>
  <si>
    <t>痘癩</t>
  </si>
  <si>
    <t>痘臭</t>
  </si>
  <si>
    <t>痘蛆</t>
  </si>
  <si>
    <t>妒乳</t>
  </si>
  <si>
    <t>中風</t>
  </si>
  <si>
    <t>●　知部</t>
  </si>
  <si>
    <t>中気</t>
  </si>
  <si>
    <t>中暑（并：中熱）</t>
  </si>
  <si>
    <t>中寒</t>
  </si>
  <si>
    <t>中発疽</t>
  </si>
  <si>
    <t>搐溺</t>
  </si>
  <si>
    <t>中搭</t>
  </si>
  <si>
    <t>中客（并：中人）</t>
  </si>
  <si>
    <t>中悪（并：天弔）</t>
  </si>
  <si>
    <t>中湿</t>
  </si>
  <si>
    <t>中毒</t>
  </si>
  <si>
    <t>偸針痣</t>
  </si>
  <si>
    <t>鈕叩風</t>
  </si>
  <si>
    <t>偸針眼</t>
  </si>
  <si>
    <t>腸燥</t>
  </si>
  <si>
    <t>腸痔</t>
  </si>
  <si>
    <t>猪圏風</t>
  </si>
  <si>
    <t>猪癇</t>
  </si>
  <si>
    <t>腸㿗</t>
  </si>
  <si>
    <t>𧏾鼻</t>
  </si>
  <si>
    <t>腸風</t>
  </si>
  <si>
    <t>蜘蛛背</t>
  </si>
  <si>
    <t>癥痞</t>
  </si>
  <si>
    <t>杼疽</t>
  </si>
  <si>
    <t>直腸</t>
  </si>
  <si>
    <t>猪灰瘡</t>
  </si>
  <si>
    <t>蟲瘻</t>
  </si>
  <si>
    <t>竹木刺</t>
  </si>
  <si>
    <t>𧏾痢</t>
  </si>
  <si>
    <t>腸澼</t>
  </si>
  <si>
    <t>蟲疰痢</t>
  </si>
  <si>
    <t>腸蠱痢</t>
  </si>
  <si>
    <t>衄血</t>
  </si>
  <si>
    <t>虫胞</t>
  </si>
  <si>
    <t>虫痛</t>
  </si>
  <si>
    <t>疰痛</t>
  </si>
  <si>
    <t>猪頭風</t>
  </si>
  <si>
    <t>蜘蛛蠱</t>
  </si>
  <si>
    <t>注下</t>
  </si>
  <si>
    <t>注夏病</t>
  </si>
  <si>
    <t>注車（并：注船）</t>
  </si>
  <si>
    <t>注病（附：大風）</t>
  </si>
  <si>
    <t>沈尸</t>
  </si>
  <si>
    <t>肘疽</t>
  </si>
  <si>
    <t>腸垢</t>
  </si>
  <si>
    <t>陳乾疽</t>
  </si>
  <si>
    <t>蛀痘</t>
  </si>
  <si>
    <t>除中</t>
  </si>
  <si>
    <t>注命疔</t>
  </si>
  <si>
    <t>※【猪疔（疔瘡附之）】目録あるも当該ページには無し</t>
  </si>
  <si>
    <t>慝瘡</t>
  </si>
  <si>
    <t>蛀筋疳（蛀疳同）</t>
  </si>
  <si>
    <t>両頭発</t>
  </si>
  <si>
    <t>●　利部</t>
  </si>
  <si>
    <t>淋病</t>
  </si>
  <si>
    <t>離魂</t>
  </si>
  <si>
    <t>龍泉疽（附：虎鬚毒）</t>
  </si>
  <si>
    <t>留飲</t>
  </si>
  <si>
    <t>龍疽（中搭）</t>
  </si>
  <si>
    <t>留火丹</t>
  </si>
  <si>
    <t>黧黒斑</t>
  </si>
  <si>
    <t>涼注</t>
  </si>
  <si>
    <t>痢風</t>
  </si>
  <si>
    <t>六極</t>
  </si>
  <si>
    <t>両股蛤蜊</t>
  </si>
  <si>
    <t>虜瘡</t>
  </si>
  <si>
    <t>驪含疔</t>
  </si>
  <si>
    <t>●　留部</t>
  </si>
  <si>
    <t>●　奴部</t>
  </si>
  <si>
    <t>悪心</t>
  </si>
  <si>
    <t>琉璃疽</t>
  </si>
  <si>
    <t>瘰癧漏</t>
  </si>
  <si>
    <t>●　遠部</t>
  </si>
  <si>
    <t>流注傷寒</t>
  </si>
  <si>
    <t>嘔吐</t>
  </si>
  <si>
    <t>嘔噦</t>
  </si>
  <si>
    <t>悪阻（附：疽病）</t>
  </si>
  <si>
    <t>嘔血</t>
  </si>
  <si>
    <t>嘔逆</t>
  </si>
  <si>
    <t>温風</t>
  </si>
  <si>
    <t>応声虫</t>
  </si>
  <si>
    <t>黄疸</t>
  </si>
  <si>
    <t>屋食瘡</t>
  </si>
  <si>
    <t>●　和部</t>
  </si>
  <si>
    <t>悪食（并：悪孕）</t>
  </si>
  <si>
    <t>瘀血痢</t>
  </si>
  <si>
    <t>横産</t>
  </si>
  <si>
    <t>黄水瘡</t>
  </si>
  <si>
    <t>黄爛瘡</t>
  </si>
  <si>
    <t>黄汗</t>
  </si>
  <si>
    <t>黄瓜癰</t>
  </si>
  <si>
    <t>黄耳傷寒</t>
  </si>
  <si>
    <t>●　加部</t>
  </si>
  <si>
    <t>黄胖</t>
  </si>
  <si>
    <t>黄腫</t>
  </si>
  <si>
    <t>王灼瘡</t>
  </si>
  <si>
    <t>黄鰍癰</t>
  </si>
  <si>
    <t>疳</t>
  </si>
  <si>
    <t>王爛瘡</t>
  </si>
  <si>
    <t>疳瀉</t>
  </si>
  <si>
    <t>疳乾</t>
  </si>
  <si>
    <t>疳労</t>
  </si>
  <si>
    <t>疳痢</t>
  </si>
  <si>
    <t>疳唖</t>
  </si>
  <si>
    <t>疳脊</t>
  </si>
  <si>
    <t>疳腫脹</t>
  </si>
  <si>
    <t>疳渇</t>
  </si>
  <si>
    <t>膏淋</t>
  </si>
  <si>
    <t>疳歯𧏾</t>
  </si>
  <si>
    <t>肝疳</t>
  </si>
  <si>
    <t>肝労</t>
  </si>
  <si>
    <t>汗毒</t>
  </si>
  <si>
    <t>汗斑</t>
  </si>
  <si>
    <t>含顋瘡</t>
  </si>
  <si>
    <t>下搭</t>
  </si>
  <si>
    <t>合谷毒</t>
  </si>
  <si>
    <t>痂疥</t>
  </si>
  <si>
    <t>寒厥</t>
  </si>
  <si>
    <t>咳逆</t>
  </si>
  <si>
    <t>哮喘</t>
  </si>
  <si>
    <t>乾嘔</t>
  </si>
  <si>
    <t>咯血（＝喀血）</t>
  </si>
  <si>
    <t>咳嗽</t>
  </si>
  <si>
    <t>咳血</t>
  </si>
  <si>
    <t>痎瘧（㾬逆）</t>
  </si>
  <si>
    <t>蛟龍病</t>
  </si>
  <si>
    <t>寒瘧</t>
  </si>
  <si>
    <t>間日瘧</t>
  </si>
  <si>
    <t>寒痛</t>
  </si>
  <si>
    <t>蝦蟆瘟</t>
  </si>
  <si>
    <t>角架風</t>
  </si>
  <si>
    <t>鞋帯癰</t>
  </si>
  <si>
    <t>乾疽</t>
  </si>
  <si>
    <t>感冒</t>
  </si>
  <si>
    <t>頦癰</t>
  </si>
  <si>
    <t>乾癬</t>
  </si>
  <si>
    <t>角弓反張</t>
  </si>
  <si>
    <t>癇症</t>
  </si>
  <si>
    <t>乾無辜</t>
  </si>
  <si>
    <t>甲疽</t>
  </si>
  <si>
    <t>渇利</t>
  </si>
  <si>
    <t>渇病</t>
  </si>
  <si>
    <t>甘疽</t>
  </si>
  <si>
    <t>汗症</t>
  </si>
  <si>
    <t>寒淋</t>
  </si>
  <si>
    <t>鼾眠</t>
  </si>
  <si>
    <t>嫁痛</t>
  </si>
  <si>
    <t>交骨不開（并産門不閉）</t>
  </si>
  <si>
    <t>交接血出</t>
  </si>
  <si>
    <t>乾疥</t>
  </si>
  <si>
    <t>雁瘡</t>
  </si>
  <si>
    <t>行疽</t>
  </si>
  <si>
    <t>汗風</t>
  </si>
  <si>
    <t>眼胞菌毒</t>
  </si>
  <si>
    <t>寒注</t>
  </si>
  <si>
    <t>寒熱注</t>
  </si>
  <si>
    <t>寒尸</t>
  </si>
  <si>
    <t>汗血</t>
  </si>
  <si>
    <t>乾霍乱</t>
  </si>
  <si>
    <t>齘歯</t>
  </si>
  <si>
    <t>攪腸沙</t>
  </si>
  <si>
    <t>牙疔</t>
  </si>
  <si>
    <t>蝦蟆瘻</t>
  </si>
  <si>
    <t>茄病</t>
  </si>
  <si>
    <t>絞腸沙痛</t>
  </si>
  <si>
    <t>肝脹</t>
  </si>
  <si>
    <t>甘鼠囓</t>
  </si>
  <si>
    <t>頷車蹉</t>
  </si>
  <si>
    <t>呷嗽</t>
  </si>
  <si>
    <t>舡暈</t>
  </si>
  <si>
    <t>寒瘡</t>
  </si>
  <si>
    <t>牙縫血</t>
  </si>
  <si>
    <t>改訾</t>
  </si>
  <si>
    <t>行黄</t>
  </si>
  <si>
    <t>蟹睛</t>
  </si>
  <si>
    <t>香瘡</t>
  </si>
  <si>
    <t>仮搐</t>
  </si>
  <si>
    <t>仮脹</t>
  </si>
  <si>
    <t>糠瘡</t>
  </si>
  <si>
    <t>合病（附：併病）</t>
  </si>
  <si>
    <t>寒疫</t>
  </si>
  <si>
    <t>客熱</t>
  </si>
  <si>
    <t>皯𪒟</t>
  </si>
  <si>
    <t>嚇癰（附：幽癰）</t>
  </si>
  <si>
    <t>剛痓</t>
  </si>
  <si>
    <t>寒戦咬牙</t>
  </si>
  <si>
    <t>寒嘔</t>
  </si>
  <si>
    <t>害大風</t>
  </si>
  <si>
    <t>※【乾枯（天瘡附之）】目録にはあるも当該ページには無し</t>
  </si>
  <si>
    <t>※【陥伏（同上）】目録にはあるも当該ページには無し</t>
  </si>
  <si>
    <t>※【寒禁（水禁附之）】目録にはあるも当該ページには無し</t>
  </si>
  <si>
    <t>楽疽</t>
  </si>
  <si>
    <t>※【癌（痼発附之）】目録にはあるも当該ページには無し</t>
  </si>
  <si>
    <t>●　与部</t>
  </si>
  <si>
    <t>殃火丹</t>
  </si>
  <si>
    <t>㚺癬</t>
  </si>
  <si>
    <t>㚺労</t>
  </si>
  <si>
    <t>壅腎瘡</t>
  </si>
  <si>
    <t>夭疽</t>
  </si>
  <si>
    <t>癰瘻</t>
  </si>
  <si>
    <t>㚺癖</t>
  </si>
  <si>
    <t>※【㚺疹子（糠瘡附之）】目録にはあるも当該ページには無し</t>
  </si>
  <si>
    <t>痰飲</t>
  </si>
  <si>
    <t>●　太部</t>
  </si>
  <si>
    <t>殃注</t>
  </si>
  <si>
    <t>痰包</t>
  </si>
  <si>
    <t>痰核</t>
  </si>
  <si>
    <t>多骨疽</t>
  </si>
  <si>
    <t>対口</t>
  </si>
  <si>
    <t>胎驚</t>
  </si>
  <si>
    <t>胎風</t>
  </si>
  <si>
    <t>胎肥</t>
  </si>
  <si>
    <t>太風痘</t>
  </si>
  <si>
    <t>胎瘤</t>
  </si>
  <si>
    <t>太麻風</t>
  </si>
  <si>
    <t>単鵝風（乳鵝同）</t>
  </si>
  <si>
    <t>胎寒</t>
  </si>
  <si>
    <t>丹疹</t>
  </si>
  <si>
    <t>胎怯</t>
  </si>
  <si>
    <t>単窠癧</t>
  </si>
  <si>
    <t>体気</t>
  </si>
  <si>
    <t>大衄</t>
  </si>
  <si>
    <t>脱癰</t>
  </si>
  <si>
    <t>単纒風</t>
  </si>
  <si>
    <t>単松子風</t>
  </si>
  <si>
    <t>脱肛</t>
  </si>
  <si>
    <t>大指疽</t>
  </si>
  <si>
    <t>脱管</t>
  </si>
  <si>
    <t>稲芒赤</t>
  </si>
  <si>
    <t>大孔痛</t>
  </si>
  <si>
    <t>癉瘧</t>
  </si>
  <si>
    <t>太陰疽</t>
  </si>
  <si>
    <t>唾血</t>
  </si>
  <si>
    <t>代指</t>
  </si>
  <si>
    <t>戴眼</t>
  </si>
  <si>
    <t>腿遊風</t>
  </si>
  <si>
    <t>大頭腫（大頭瘟同）</t>
  </si>
  <si>
    <t>帯下</t>
  </si>
  <si>
    <t>倒睫（＝さかさまつげ）</t>
  </si>
  <si>
    <t>滞下</t>
  </si>
  <si>
    <t>大腸泄</t>
  </si>
  <si>
    <t>大瘕泄</t>
  </si>
  <si>
    <t>胎腫</t>
  </si>
  <si>
    <t>倒抜腫瘍</t>
  </si>
  <si>
    <t>胎動</t>
  </si>
  <si>
    <t>胎痛</t>
  </si>
  <si>
    <t>胎漏</t>
  </si>
  <si>
    <t>胎死</t>
  </si>
  <si>
    <t>疸水</t>
  </si>
  <si>
    <t>胎赤</t>
  </si>
  <si>
    <t>湯溌</t>
  </si>
  <si>
    <t>体臭</t>
  </si>
  <si>
    <t>対心発</t>
  </si>
  <si>
    <t>兌疽</t>
  </si>
  <si>
    <t>断咽瘡</t>
  </si>
  <si>
    <t>丹火</t>
  </si>
  <si>
    <t>帯利</t>
  </si>
  <si>
    <t>胎㿐</t>
  </si>
  <si>
    <t>腿【シャ＝月+㕚】風</t>
  </si>
  <si>
    <t>大腸蟲</t>
  </si>
  <si>
    <t>断耳瘡</t>
  </si>
  <si>
    <t>太息（＝といき）</t>
  </si>
  <si>
    <t>胎癇</t>
  </si>
  <si>
    <t>胎瘧</t>
  </si>
  <si>
    <t>湛濁</t>
  </si>
  <si>
    <t>大風</t>
  </si>
  <si>
    <t>胎暈</t>
  </si>
  <si>
    <t>嬭岩</t>
  </si>
  <si>
    <t>帯孕</t>
  </si>
  <si>
    <t>胆癉</t>
  </si>
  <si>
    <t>痰嘔</t>
  </si>
  <si>
    <t>胎水</t>
  </si>
  <si>
    <t>倒挂銀瓶</t>
  </si>
  <si>
    <t>嬭癬</t>
  </si>
  <si>
    <t>弾打天烏</t>
  </si>
  <si>
    <t>逐鹿芒羊</t>
  </si>
  <si>
    <t>桃花蛀</t>
  </si>
  <si>
    <t>堕胎</t>
  </si>
  <si>
    <t>短狐毒</t>
  </si>
  <si>
    <t>断橋失度</t>
  </si>
  <si>
    <t>脱陽</t>
  </si>
  <si>
    <t>堆屎収</t>
  </si>
  <si>
    <t>蓮子発（蓮房発同）（并：蜂窠発）</t>
  </si>
  <si>
    <t>多気</t>
  </si>
  <si>
    <t>倒産</t>
  </si>
  <si>
    <t>臁瘡</t>
  </si>
  <si>
    <t>●　礼部</t>
  </si>
  <si>
    <t>蓮腎発</t>
  </si>
  <si>
    <t>蓮子発（異上）</t>
  </si>
  <si>
    <t>冷疳</t>
  </si>
  <si>
    <t>冷注</t>
  </si>
  <si>
    <t>蓮子癧</t>
  </si>
  <si>
    <t>連珠風</t>
  </si>
  <si>
    <t>冷熱疳</t>
  </si>
  <si>
    <t>厲癰</t>
  </si>
  <si>
    <t>冷癇</t>
  </si>
  <si>
    <t>厲火丹</t>
  </si>
  <si>
    <t>癧瘍</t>
  </si>
  <si>
    <t>●　曽部</t>
  </si>
  <si>
    <t>燎泡</t>
  </si>
  <si>
    <t>錬銀瘡</t>
  </si>
  <si>
    <t>双纒風</t>
  </si>
  <si>
    <t>双鵝瘋（双乳蛾同）</t>
  </si>
  <si>
    <t>走馬喉痺</t>
  </si>
  <si>
    <t>走馬牙疳</t>
  </si>
  <si>
    <t>阻病</t>
  </si>
  <si>
    <t>走緩</t>
  </si>
  <si>
    <t>粟房風</t>
  </si>
  <si>
    <t>走腹</t>
  </si>
  <si>
    <t>瘡癤</t>
  </si>
  <si>
    <t>走皮風</t>
  </si>
  <si>
    <t>走哺</t>
  </si>
  <si>
    <t>鼠残癧</t>
  </si>
  <si>
    <t>鼠瘻</t>
  </si>
  <si>
    <t>鼠乳</t>
  </si>
  <si>
    <t>捜牙風</t>
  </si>
  <si>
    <t>卒風腫</t>
  </si>
  <si>
    <t>瘜肉</t>
  </si>
  <si>
    <t>疽瘡</t>
  </si>
  <si>
    <t>瘡根</t>
  </si>
  <si>
    <t>賊痘</t>
  </si>
  <si>
    <t>搶食風</t>
  </si>
  <si>
    <t>湊肺</t>
  </si>
  <si>
    <t>賊風</t>
  </si>
  <si>
    <t>喪尸</t>
  </si>
  <si>
    <t>卒利</t>
  </si>
  <si>
    <t>卒忤</t>
  </si>
  <si>
    <t>足釘</t>
  </si>
  <si>
    <t>走精黄病</t>
  </si>
  <si>
    <t>喪注</t>
  </si>
  <si>
    <t>走皮㿐瘡</t>
  </si>
  <si>
    <t>走注</t>
  </si>
  <si>
    <t>走注瘰癧風</t>
  </si>
  <si>
    <t>鼠瘤</t>
  </si>
  <si>
    <t>息積</t>
  </si>
  <si>
    <t>鼠噎</t>
  </si>
  <si>
    <t>蛆瘤</t>
  </si>
  <si>
    <t>嗆喉（并：嗆水）</t>
  </si>
  <si>
    <t>瘡血溺</t>
  </si>
  <si>
    <t>瘡雀</t>
  </si>
  <si>
    <t>蜡目</t>
  </si>
  <si>
    <t>甑帯瘡</t>
  </si>
  <si>
    <t>息奔</t>
  </si>
  <si>
    <t>足尰</t>
  </si>
  <si>
    <t>※【贈痘（天瘡附之）】目録にはあるも当該ページには無し</t>
  </si>
  <si>
    <t>●　津部</t>
  </si>
  <si>
    <t>頭痛</t>
  </si>
  <si>
    <t>頭風</t>
  </si>
  <si>
    <t>※【足面疔（疔瘡附之）】目録にはあるも当該ページには無し</t>
  </si>
  <si>
    <t>瘡石</t>
  </si>
  <si>
    <t>頭面風</t>
  </si>
  <si>
    <t>熱疳</t>
  </si>
  <si>
    <t>熱注</t>
  </si>
  <si>
    <t>熱厥</t>
  </si>
  <si>
    <t>熱病</t>
  </si>
  <si>
    <t>●　禰部</t>
  </si>
  <si>
    <t>熱痛</t>
  </si>
  <si>
    <t>熱利</t>
  </si>
  <si>
    <t>熱淋</t>
  </si>
  <si>
    <t>内傷</t>
  </si>
  <si>
    <t>内弔（同上）</t>
  </si>
  <si>
    <t>内障</t>
  </si>
  <si>
    <t>●　奈部</t>
  </si>
  <si>
    <t>熱嘔</t>
  </si>
  <si>
    <t>熱入血室</t>
  </si>
  <si>
    <t>熱毒</t>
  </si>
  <si>
    <t>内釣</t>
  </si>
  <si>
    <t>内疳</t>
  </si>
  <si>
    <t>内吹</t>
  </si>
  <si>
    <t>内痔</t>
  </si>
  <si>
    <t>内搐</t>
  </si>
  <si>
    <t>内疚疽</t>
  </si>
  <si>
    <t>内黄</t>
  </si>
  <si>
    <t>内瘻</t>
  </si>
  <si>
    <t>内風</t>
  </si>
  <si>
    <t>難産</t>
  </si>
  <si>
    <t>内衄</t>
  </si>
  <si>
    <t>内潰</t>
  </si>
  <si>
    <t>軟癤</t>
  </si>
  <si>
    <t>軟風</t>
  </si>
  <si>
    <t>癱瘓</t>
  </si>
  <si>
    <t>内発丹毒</t>
  </si>
  <si>
    <t>軟痛</t>
  </si>
  <si>
    <t>癆瘵</t>
  </si>
  <si>
    <t>●　良部</t>
  </si>
  <si>
    <t>卵㿗</t>
  </si>
  <si>
    <t>狼疝</t>
  </si>
  <si>
    <t>浪子瘟</t>
  </si>
  <si>
    <t>労淋</t>
  </si>
  <si>
    <t>労注</t>
  </si>
  <si>
    <t>雷頭風</t>
  </si>
  <si>
    <t>老瘧</t>
  </si>
  <si>
    <t>狼瘻</t>
  </si>
  <si>
    <t>労風</t>
  </si>
  <si>
    <t>落痂</t>
  </si>
  <si>
    <t>臘梨</t>
  </si>
  <si>
    <t>落下頦</t>
  </si>
  <si>
    <t>労瘧</t>
  </si>
  <si>
    <t>癩風</t>
  </si>
  <si>
    <t>来去痛</t>
  </si>
  <si>
    <t>癩頭風</t>
  </si>
  <si>
    <t>爛疔</t>
  </si>
  <si>
    <t>無遺</t>
  </si>
  <si>
    <t>卵脹</t>
  </si>
  <si>
    <t>●　無部</t>
  </si>
  <si>
    <t>落頭民</t>
  </si>
  <si>
    <t>藍注</t>
  </si>
  <si>
    <t>猟頬風</t>
  </si>
  <si>
    <t>爛縁血風</t>
  </si>
  <si>
    <t>老鼠攅</t>
  </si>
  <si>
    <t>老鼠瘡</t>
  </si>
  <si>
    <t>無血讃</t>
  </si>
  <si>
    <t>無子</t>
  </si>
  <si>
    <t>無名腫</t>
  </si>
  <si>
    <t>無皮</t>
  </si>
  <si>
    <t>●　宇部</t>
  </si>
  <si>
    <t>温病</t>
  </si>
  <si>
    <t>烏紗驚風</t>
  </si>
  <si>
    <t>右搭串</t>
  </si>
  <si>
    <t>温瘧</t>
  </si>
  <si>
    <t>烏啄瘡</t>
  </si>
  <si>
    <t>鬱冒</t>
  </si>
  <si>
    <t>温壮</t>
  </si>
  <si>
    <t>温注</t>
  </si>
  <si>
    <t>烏風</t>
  </si>
  <si>
    <t>温毒</t>
  </si>
  <si>
    <t>鬱火丹</t>
  </si>
  <si>
    <t>慍羝</t>
  </si>
  <si>
    <t>脳爍</t>
  </si>
  <si>
    <t>脳疽</t>
  </si>
  <si>
    <t>烏癩</t>
  </si>
  <si>
    <t>脳衄</t>
  </si>
  <si>
    <t>●　為部（入以部）</t>
  </si>
  <si>
    <t>●　乃部</t>
  </si>
  <si>
    <t>膿窠瘡</t>
  </si>
  <si>
    <t>脳猪</t>
  </si>
  <si>
    <t>脳裏虚瘍</t>
  </si>
  <si>
    <t>脳疳</t>
  </si>
  <si>
    <t>嚢癰</t>
  </si>
  <si>
    <t>脳砂</t>
  </si>
  <si>
    <t>膿漏目</t>
  </si>
  <si>
    <t>脳風</t>
  </si>
  <si>
    <t>脳黄</t>
  </si>
  <si>
    <t>膿血痢</t>
  </si>
  <si>
    <t>膿疱</t>
  </si>
  <si>
    <t>●　於部（入遠部）</t>
  </si>
  <si>
    <t>膿疱瘡</t>
  </si>
  <si>
    <t>●　久部</t>
  </si>
  <si>
    <t>脳瘻</t>
  </si>
  <si>
    <t>脳発疽</t>
  </si>
  <si>
    <t>膿瘻</t>
  </si>
  <si>
    <t>鸛口疽</t>
  </si>
  <si>
    <t>外翳</t>
  </si>
  <si>
    <t>外障</t>
  </si>
  <si>
    <t>月蝕瘡</t>
  </si>
  <si>
    <t>花瘻</t>
  </si>
  <si>
    <t>鼓槌風</t>
  </si>
  <si>
    <t>化骨瘡</t>
  </si>
  <si>
    <t>晦瘡</t>
  </si>
  <si>
    <t>鶴節</t>
  </si>
  <si>
    <t>頑疽</t>
  </si>
  <si>
    <t>蠼螋尿瘡</t>
  </si>
  <si>
    <t>関格</t>
  </si>
  <si>
    <t>瓜藤癧</t>
  </si>
  <si>
    <t>回食病</t>
  </si>
  <si>
    <t>花風</t>
  </si>
  <si>
    <t>緩風</t>
  </si>
  <si>
    <t>緩疽</t>
  </si>
  <si>
    <t>狗皮癬</t>
  </si>
  <si>
    <t>回水</t>
  </si>
  <si>
    <t>過肩疽</t>
  </si>
  <si>
    <t>悔気瘡</t>
  </si>
  <si>
    <t>貫膿（灌膿同）</t>
  </si>
  <si>
    <t>蛔疳</t>
  </si>
  <si>
    <t>還元</t>
  </si>
  <si>
    <t>癀瘡（并：広豆）</t>
  </si>
  <si>
    <t>火焔疔</t>
  </si>
  <si>
    <t>回乳</t>
  </si>
  <si>
    <t>刮腸</t>
  </si>
  <si>
    <t>滑痢</t>
  </si>
  <si>
    <t>蛔蟲瘤</t>
  </si>
  <si>
    <t>瓜藤発</t>
  </si>
  <si>
    <t>空歓喜</t>
  </si>
  <si>
    <t>黄鼓疔</t>
  </si>
  <si>
    <t>裙風</t>
  </si>
  <si>
    <t>外痔</t>
  </si>
  <si>
    <t>控脳沙</t>
  </si>
  <si>
    <t>滑翳</t>
  </si>
  <si>
    <t>横翳</t>
  </si>
  <si>
    <t>果子瘡</t>
  </si>
  <si>
    <t>回頭瘴</t>
  </si>
  <si>
    <t>廻風</t>
  </si>
  <si>
    <t>狗咽</t>
  </si>
  <si>
    <t>刮沙</t>
  </si>
  <si>
    <t>火疔</t>
  </si>
  <si>
    <t>蚘厥</t>
  </si>
  <si>
    <t>瓜藤纏</t>
  </si>
  <si>
    <t>火珠疔</t>
  </si>
  <si>
    <t>瓜藤馬𤷍（并：過脊馬𤷍）</t>
  </si>
  <si>
    <t>黄不串流</t>
  </si>
  <si>
    <t>空倉</t>
  </si>
  <si>
    <t>藕池踏水</t>
  </si>
  <si>
    <t>外吹（并：内吹）</t>
  </si>
  <si>
    <t>顴音払痤</t>
  </si>
  <si>
    <t>黄瘕</t>
  </si>
  <si>
    <t>滑精</t>
  </si>
  <si>
    <t>廻陽泉</t>
  </si>
  <si>
    <t>灰白痘</t>
  </si>
  <si>
    <t>臑疽</t>
  </si>
  <si>
    <t>頑痺（并：頑麻）</t>
  </si>
  <si>
    <t>齲歯</t>
  </si>
  <si>
    <t>※【瓜藤疔（同上）】目録にはあるも当該ページには無し</t>
  </si>
  <si>
    <t>※【黄疔（同上）】目録にはあるも当該ページには無し</t>
  </si>
  <si>
    <t>外発</t>
  </si>
  <si>
    <t>※【火禁（水禁附之）】目録にはあるも当該ページには無し</t>
  </si>
  <si>
    <t>火痂</t>
  </si>
  <si>
    <t>潰瘍</t>
  </si>
  <si>
    <t>※【狗疔（疔瘡附之）】目録にはあるも当該ページには無し</t>
  </si>
  <si>
    <t>陽毒</t>
  </si>
  <si>
    <t>●　也部</t>
  </si>
  <si>
    <t>瘍</t>
  </si>
  <si>
    <t>痒陽疽</t>
  </si>
  <si>
    <t>羊鬚瘡</t>
  </si>
  <si>
    <t>野火丹</t>
  </si>
  <si>
    <t>夜夢鬼交</t>
  </si>
  <si>
    <t>羊毛疔</t>
  </si>
  <si>
    <t>陽血（并：陰血）</t>
  </si>
  <si>
    <t>野道</t>
  </si>
  <si>
    <t>夜啼</t>
  </si>
  <si>
    <t>慢驚風</t>
  </si>
  <si>
    <t>●　末部</t>
  </si>
  <si>
    <t>慢脾風</t>
  </si>
  <si>
    <t>忘汲疔</t>
  </si>
  <si>
    <t>麻子疔</t>
  </si>
  <si>
    <t>満天星</t>
  </si>
  <si>
    <t>麻疹（＝はしか）</t>
  </si>
  <si>
    <t>満肚</t>
  </si>
  <si>
    <t>眩冒</t>
  </si>
  <si>
    <t>眩暈</t>
  </si>
  <si>
    <t>●　計部</t>
  </si>
  <si>
    <t>下疳瘡</t>
  </si>
  <si>
    <t>血箭</t>
  </si>
  <si>
    <t>懸𤷍風</t>
  </si>
  <si>
    <t>懸癰（異上）</t>
  </si>
  <si>
    <t>懸癰</t>
  </si>
  <si>
    <t>血厥</t>
  </si>
  <si>
    <t>血箭（異前）</t>
  </si>
  <si>
    <t>血汗</t>
  </si>
  <si>
    <t>血潰</t>
  </si>
  <si>
    <t>血餘</t>
  </si>
  <si>
    <t>血瘥</t>
  </si>
  <si>
    <t>血疝</t>
  </si>
  <si>
    <t>血注</t>
  </si>
  <si>
    <t>血痢</t>
  </si>
  <si>
    <t>血逆</t>
  </si>
  <si>
    <t>血擁</t>
  </si>
  <si>
    <t>血疼（并：血瘥）</t>
  </si>
  <si>
    <t>血分病（并：気分）</t>
  </si>
  <si>
    <t>血淋</t>
  </si>
  <si>
    <t>血滞</t>
  </si>
  <si>
    <t>血痔</t>
  </si>
  <si>
    <t>血瘡</t>
  </si>
  <si>
    <t>血枯</t>
  </si>
  <si>
    <t>拳毛</t>
  </si>
  <si>
    <t>健忘</t>
  </si>
  <si>
    <t>痃癖</t>
  </si>
  <si>
    <t>血崩</t>
  </si>
  <si>
    <t>血暈</t>
  </si>
  <si>
    <t>牙癰風</t>
  </si>
  <si>
    <t>牙宣</t>
  </si>
  <si>
    <t>血塊</t>
  </si>
  <si>
    <t>肩疽</t>
  </si>
  <si>
    <t>玄疽</t>
  </si>
  <si>
    <t>頸毒</t>
  </si>
  <si>
    <t>牙蟲</t>
  </si>
  <si>
    <t>牙蜞風</t>
  </si>
  <si>
    <t>牙歯歴蠧</t>
  </si>
  <si>
    <t>牙歯蟲</t>
  </si>
  <si>
    <t>夾肢癰</t>
  </si>
  <si>
    <t>繭唇</t>
  </si>
  <si>
    <t>雞眼子</t>
  </si>
  <si>
    <t>挾癭</t>
  </si>
  <si>
    <t>缺盆疽</t>
  </si>
  <si>
    <t>結痂</t>
  </si>
  <si>
    <t>結核</t>
  </si>
  <si>
    <t>雞爪瘋</t>
  </si>
  <si>
    <t>経閉</t>
  </si>
  <si>
    <t>厥</t>
  </si>
  <si>
    <t>雞癇</t>
  </si>
  <si>
    <t>継病</t>
  </si>
  <si>
    <t>下気</t>
  </si>
  <si>
    <t>瘈瘲</t>
  </si>
  <si>
    <t>脇癰</t>
  </si>
  <si>
    <t>雞督瘡</t>
  </si>
  <si>
    <t>蛍花丹</t>
  </si>
  <si>
    <t>下馬癰</t>
  </si>
  <si>
    <t>懸癖</t>
  </si>
  <si>
    <t>顴瘍</t>
  </si>
  <si>
    <t>結筋</t>
  </si>
  <si>
    <t>外感</t>
  </si>
  <si>
    <t>顴骨肉疽</t>
  </si>
  <si>
    <t>雞胸</t>
  </si>
  <si>
    <t>血鼓</t>
  </si>
  <si>
    <t>血腫</t>
  </si>
  <si>
    <t>血疽</t>
  </si>
  <si>
    <t>血瘤（并：血癭）</t>
  </si>
  <si>
    <t>厥心痛</t>
  </si>
  <si>
    <t>肩後疽</t>
  </si>
  <si>
    <t>血風</t>
  </si>
  <si>
    <t>血痰</t>
  </si>
  <si>
    <t>夾疹</t>
  </si>
  <si>
    <t>雞冠蜆肉</t>
  </si>
  <si>
    <t>懸飲</t>
  </si>
  <si>
    <t>牙槽風</t>
  </si>
  <si>
    <t>血濆</t>
  </si>
  <si>
    <t>頬車病（＝落架風）</t>
  </si>
  <si>
    <t>孽報病</t>
  </si>
  <si>
    <t>夾癰</t>
  </si>
  <si>
    <t>鬈毛瘡</t>
  </si>
  <si>
    <t>拳虎疔</t>
  </si>
  <si>
    <t>捲簾疔</t>
  </si>
  <si>
    <t>下注瘡</t>
  </si>
  <si>
    <t>血実瘡</t>
  </si>
  <si>
    <t>謇吃</t>
  </si>
  <si>
    <t>茎衄</t>
  </si>
  <si>
    <t>結腸飜胃</t>
  </si>
  <si>
    <t>血瘕</t>
  </si>
  <si>
    <t>睢目</t>
  </si>
  <si>
    <t>結胸</t>
  </si>
  <si>
    <t>恵袋癧</t>
  </si>
  <si>
    <t>渓病</t>
  </si>
  <si>
    <t>胸痞</t>
  </si>
  <si>
    <t>渓鬼（并：渓毒　渓温）</t>
  </si>
  <si>
    <t>脇痛</t>
  </si>
  <si>
    <t>※【血箭疔（同上）】目録にはあるも当該ページには無し</t>
  </si>
  <si>
    <t>血渇</t>
  </si>
  <si>
    <t>※【頬疔（同上）】目録にはあるも当該ページには無し</t>
  </si>
  <si>
    <t>※【血漚（嘔吐附之）】目録にはあるも当該ページには無し</t>
  </si>
  <si>
    <t>●　不部</t>
  </si>
  <si>
    <t>無辜疳</t>
  </si>
  <si>
    <t>胸疽</t>
  </si>
  <si>
    <t>※【顴骨疔（疔瘡附之）】目録にはあるも当該ページには無し</t>
  </si>
  <si>
    <t>風疳（疳眼同）</t>
  </si>
  <si>
    <t>風齲</t>
  </si>
  <si>
    <t>附牙癰</t>
  </si>
  <si>
    <t>風歯</t>
  </si>
  <si>
    <t>風疽</t>
  </si>
  <si>
    <t>伏飲</t>
  </si>
  <si>
    <t>粉刺（＝にきび）</t>
  </si>
  <si>
    <t>伏兎発</t>
  </si>
  <si>
    <t>粉滓斑（＝そばかす）</t>
  </si>
  <si>
    <t>胕髄病</t>
  </si>
  <si>
    <t>風瘧</t>
  </si>
  <si>
    <t>風屑</t>
  </si>
  <si>
    <t>葡萄疫</t>
  </si>
  <si>
    <t>粉花瘡</t>
  </si>
  <si>
    <t>風黄</t>
  </si>
  <si>
    <t>風水病</t>
  </si>
  <si>
    <t>仏頂疽</t>
  </si>
  <si>
    <t>風癘</t>
  </si>
  <si>
    <t>腹内人声</t>
  </si>
  <si>
    <t>伏尸</t>
  </si>
  <si>
    <t>風痙</t>
  </si>
  <si>
    <t>風癲</t>
  </si>
  <si>
    <t>風驚</t>
  </si>
  <si>
    <t>風痺</t>
  </si>
  <si>
    <t>風痱</t>
  </si>
  <si>
    <t>腹中鼓声</t>
  </si>
  <si>
    <t>腹中鉄石</t>
  </si>
  <si>
    <t>浮翳</t>
  </si>
  <si>
    <t>不寐</t>
  </si>
  <si>
    <t>腹内児哭</t>
  </si>
  <si>
    <t>※【麩瘡（糠瘡附之）】目録にはあるも当該ページには無し</t>
  </si>
  <si>
    <t>不痛瘡</t>
  </si>
  <si>
    <t>風毒</t>
  </si>
  <si>
    <t>※【腐疔（疔瘡附之）】目録にはあるも当該ページには無し</t>
  </si>
  <si>
    <t>浮漚疔</t>
  </si>
  <si>
    <t>風燕失巣</t>
  </si>
  <si>
    <t>※【風禁（火禁附之）】目録にはあるも当該ページには無し</t>
  </si>
  <si>
    <t>附陰疽</t>
  </si>
  <si>
    <t>風注</t>
  </si>
  <si>
    <t>●　己部</t>
  </si>
  <si>
    <t>※【膚瘡（天瘡附之）】目録にはあるも当該ページには無し</t>
  </si>
  <si>
    <t>※【膚疹（同上）】目録にはあるも当該ページには無し</t>
  </si>
  <si>
    <t>※【伏出未能盡（同上）】目録にはあるも当該ページには無し</t>
  </si>
  <si>
    <t>※【不護場（同上）】目録にはあるも当該ページには無し</t>
  </si>
  <si>
    <t>喉風</t>
  </si>
  <si>
    <t>骨風</t>
  </si>
  <si>
    <t>喉噤</t>
  </si>
  <si>
    <t>骨槽風</t>
  </si>
  <si>
    <t>胡気（＝わきが）</t>
  </si>
  <si>
    <t>膕衄</t>
  </si>
  <si>
    <t>狐臭</t>
  </si>
  <si>
    <t>虎口疽</t>
  </si>
  <si>
    <t>黒疽</t>
  </si>
  <si>
    <t>黒疔</t>
  </si>
  <si>
    <t>蜈蚣毒</t>
  </si>
  <si>
    <t>穀賊</t>
  </si>
  <si>
    <t>褌口瘡</t>
  </si>
  <si>
    <t>虎口百了</t>
  </si>
  <si>
    <t>紅汗</t>
  </si>
  <si>
    <t>痼発</t>
  </si>
  <si>
    <t>股脛疽</t>
  </si>
  <si>
    <t>肛門癰</t>
  </si>
  <si>
    <t>穀道無孔</t>
  </si>
  <si>
    <t>五疳</t>
  </si>
  <si>
    <t>五硬</t>
  </si>
  <si>
    <t>胡次丹（并：胡漏丹）</t>
  </si>
  <si>
    <t>紅糸瘡</t>
  </si>
  <si>
    <t>胡孫噤</t>
  </si>
  <si>
    <t>黒子（＝ほくろ）</t>
  </si>
  <si>
    <t>蠱疰痢</t>
  </si>
  <si>
    <t>骨注</t>
  </si>
  <si>
    <t>哭注</t>
  </si>
  <si>
    <t>蠱注</t>
  </si>
  <si>
    <t>穀労</t>
  </si>
  <si>
    <t>蠱毒</t>
  </si>
  <si>
    <t>口吻瘡</t>
  </si>
  <si>
    <t>虎鬚毒</t>
  </si>
  <si>
    <t>穀瘕</t>
  </si>
  <si>
    <t>口舌乾焦</t>
  </si>
  <si>
    <t>口臭</t>
  </si>
  <si>
    <t>骨痺</t>
  </si>
  <si>
    <t>穀疸</t>
  </si>
  <si>
    <t>疙瘩</t>
  </si>
  <si>
    <t>穀道蟲</t>
  </si>
  <si>
    <t>黒靨疔</t>
  </si>
  <si>
    <t>瓠毒瘡</t>
  </si>
  <si>
    <t>狐疝風</t>
  </si>
  <si>
    <t>斛茗瘕</t>
  </si>
  <si>
    <t>骨瘤（并：黒砂瘤　黒粉瘤）</t>
  </si>
  <si>
    <t>骨鯁</t>
  </si>
  <si>
    <t>蠱脹</t>
  </si>
  <si>
    <t>袴口瘡</t>
  </si>
  <si>
    <t>惛塞</t>
  </si>
  <si>
    <t>黒皰</t>
  </si>
  <si>
    <t>口内肉毬</t>
  </si>
  <si>
    <t>黒水凝翳</t>
  </si>
  <si>
    <t>紅糸瘤</t>
  </si>
  <si>
    <t>鶻眼</t>
  </si>
  <si>
    <t>鼓椎風</t>
  </si>
  <si>
    <t>骨螻疽</t>
  </si>
  <si>
    <t>洪燭瘡</t>
  </si>
  <si>
    <t>昏迷</t>
  </si>
  <si>
    <t>渾潔</t>
  </si>
  <si>
    <t>喉癰</t>
  </si>
  <si>
    <t>紅糟鼻</t>
  </si>
  <si>
    <t>骨火丹</t>
  </si>
  <si>
    <t>渾身虱出</t>
  </si>
  <si>
    <t>骨極</t>
  </si>
  <si>
    <t>五衊衄</t>
  </si>
  <si>
    <t>狐陽絶陰</t>
  </si>
  <si>
    <t>口疳</t>
  </si>
  <si>
    <t>狐刺瘡</t>
  </si>
  <si>
    <t>狐瘕</t>
  </si>
  <si>
    <t>※【護場（同上）】目録にはあるも当該ページには無し</t>
  </si>
  <si>
    <t>※【紅演疔（疔瘡附之）】目録にはあるも当該ページには無し</t>
  </si>
  <si>
    <t>骨癰</t>
  </si>
  <si>
    <t>苟抄乳</t>
  </si>
  <si>
    <t>●　江部</t>
  </si>
  <si>
    <t>天疽</t>
  </si>
  <si>
    <t>●　天部</t>
  </si>
  <si>
    <t>天火丹（并：天竈丹）</t>
  </si>
  <si>
    <t>疔痘</t>
  </si>
  <si>
    <t>天蛇頭</t>
  </si>
  <si>
    <t>重腭喉風</t>
  </si>
  <si>
    <t>帝中風</t>
  </si>
  <si>
    <t>天釣（天弔同）</t>
  </si>
  <si>
    <t>田螺泡</t>
  </si>
  <si>
    <t>天上病</t>
  </si>
  <si>
    <t>甜瘡</t>
  </si>
  <si>
    <t>丁奚疳</t>
  </si>
  <si>
    <t>重腭（并：重齦）</t>
  </si>
  <si>
    <t>重舌（＝こじた）</t>
  </si>
  <si>
    <t>転筋（＝こむらがえり）</t>
  </si>
  <si>
    <t>調疽</t>
  </si>
  <si>
    <t>癥疰</t>
  </si>
  <si>
    <t>癲癇</t>
  </si>
  <si>
    <t>纏耳</t>
  </si>
  <si>
    <t>転脈漏</t>
  </si>
  <si>
    <t>聤耳</t>
  </si>
  <si>
    <t>貼骨癰</t>
  </si>
  <si>
    <t>重台癧</t>
  </si>
  <si>
    <t>転注</t>
  </si>
  <si>
    <t>癲狂（＝きちがい）</t>
  </si>
  <si>
    <t>伝尸病</t>
  </si>
  <si>
    <t>跌撲</t>
  </si>
  <si>
    <t>釘節天蛇</t>
  </si>
  <si>
    <t>天瘡（附疱瘡）</t>
  </si>
  <si>
    <t>天柱骨倒</t>
  </si>
  <si>
    <t>天糸入咽</t>
  </si>
  <si>
    <t>粘瘡</t>
  </si>
  <si>
    <t>疔瘡走黄</t>
  </si>
  <si>
    <t>※【顛風（注病附之）】目録にはあるも当該ページには無し</t>
  </si>
  <si>
    <t>帝鍾喉風</t>
  </si>
  <si>
    <t>●　安部</t>
  </si>
  <si>
    <t>噫気（噫・噯同じ。＝おくび）</t>
  </si>
  <si>
    <t>丫刺毒</t>
  </si>
  <si>
    <t>鴨溏瀉</t>
  </si>
  <si>
    <t>鴉叉</t>
  </si>
  <si>
    <t>噫醋</t>
  </si>
  <si>
    <t>暗胎</t>
  </si>
  <si>
    <t>按季</t>
  </si>
  <si>
    <t>蛙瘻</t>
  </si>
  <si>
    <t>悪肉</t>
  </si>
  <si>
    <t>悪𧍯噛</t>
  </si>
  <si>
    <t>悪脈</t>
  </si>
  <si>
    <t>悪格腫</t>
  </si>
  <si>
    <t>※【鴉翎痘（天瘡附之）】目録にはあるも当該ページには無し</t>
  </si>
  <si>
    <t>丫枝（アシ）</t>
  </si>
  <si>
    <t>暗風</t>
  </si>
  <si>
    <t>●　左部</t>
  </si>
  <si>
    <t>※【桜桃疔（同上）】目録にはあるも当該ページには無し</t>
  </si>
  <si>
    <t>※【暗疔（疔瘡附之）】目録にはあるも当該ページには無し</t>
  </si>
  <si>
    <t>散走流注発</t>
  </si>
  <si>
    <t>鵶臭</t>
  </si>
  <si>
    <t>左搭串</t>
  </si>
  <si>
    <t>査疽</t>
  </si>
  <si>
    <t>三虫</t>
  </si>
  <si>
    <t>痄腮</t>
  </si>
  <si>
    <t>坐舌蓮花風</t>
  </si>
  <si>
    <t>産注</t>
  </si>
  <si>
    <t>痤疿</t>
  </si>
  <si>
    <t>𩞄雑</t>
  </si>
  <si>
    <t>皶</t>
  </si>
  <si>
    <t>鎖骨疽</t>
  </si>
  <si>
    <t>蹉跌</t>
  </si>
  <si>
    <t>差㿉</t>
  </si>
  <si>
    <t>竈瘃</t>
  </si>
  <si>
    <t>撮口</t>
  </si>
  <si>
    <t>鎖肚</t>
  </si>
  <si>
    <t>棗花翳</t>
  </si>
  <si>
    <t>斬三屍</t>
  </si>
  <si>
    <t>散翳</t>
  </si>
  <si>
    <t>産頽</t>
  </si>
  <si>
    <t>坐板瘡</t>
  </si>
  <si>
    <t>皶赤皰</t>
  </si>
  <si>
    <t>爪中龍伏</t>
  </si>
  <si>
    <t>鎖喉風</t>
  </si>
  <si>
    <t>三十六疔</t>
  </si>
  <si>
    <t>燥瘕</t>
  </si>
  <si>
    <t>壮熱断下</t>
  </si>
  <si>
    <t>霜橋印迹</t>
  </si>
  <si>
    <t>霜逐梧桐</t>
  </si>
  <si>
    <t>三仙入洞</t>
  </si>
  <si>
    <t>臓厥</t>
  </si>
  <si>
    <t>※【鎖項（天瘡附之）】目録にはあるも当該ページには無し</t>
  </si>
  <si>
    <t>蒜髪</t>
  </si>
  <si>
    <t>客忤（附：中客、中人）</t>
  </si>
  <si>
    <t>●　幾部</t>
  </si>
  <si>
    <t>坐馬癰</t>
  </si>
  <si>
    <t>亀胸（＝はとむね）</t>
  </si>
  <si>
    <t>鬼撃</t>
  </si>
  <si>
    <t>魚口</t>
  </si>
  <si>
    <t>鬼排</t>
  </si>
  <si>
    <t>肌衄</t>
  </si>
  <si>
    <t>気奔</t>
  </si>
  <si>
    <t>𤷍癧癰</t>
  </si>
  <si>
    <t>魚口風</t>
  </si>
  <si>
    <t>休息痢</t>
  </si>
  <si>
    <t>牛勒瘋</t>
  </si>
  <si>
    <t>魚鱗瘋</t>
  </si>
  <si>
    <t>牛程𨇥</t>
  </si>
  <si>
    <t>九蟲</t>
  </si>
  <si>
    <t>魚腮風</t>
  </si>
  <si>
    <t>菌毒</t>
  </si>
  <si>
    <t>飢疝</t>
  </si>
  <si>
    <t>鬼注</t>
  </si>
  <si>
    <t>亀背発</t>
  </si>
  <si>
    <t>気噎</t>
  </si>
  <si>
    <t>気淋</t>
  </si>
  <si>
    <t>脚拐毒</t>
  </si>
  <si>
    <t>玉頂発</t>
  </si>
  <si>
    <t>玉枕疽</t>
  </si>
  <si>
    <t>金腮瘡</t>
  </si>
  <si>
    <t>筋疽</t>
  </si>
  <si>
    <t>虚瘍</t>
  </si>
  <si>
    <t>僵螂蛀</t>
  </si>
  <si>
    <t>禽疽</t>
  </si>
  <si>
    <t>居経</t>
  </si>
  <si>
    <t>気痛</t>
  </si>
  <si>
    <t>気腫</t>
  </si>
  <si>
    <t>忌嬭</t>
  </si>
  <si>
    <t>魚鱗痣</t>
  </si>
  <si>
    <t>噤口痢</t>
  </si>
  <si>
    <t>疣瘡</t>
  </si>
  <si>
    <t>蚯蚓瘻</t>
  </si>
  <si>
    <t>蟻瘻</t>
  </si>
  <si>
    <t>噤口</t>
  </si>
  <si>
    <t>噤口風</t>
  </si>
  <si>
    <t>緊唇</t>
  </si>
  <si>
    <t>鬼捻青</t>
  </si>
  <si>
    <t>驚疳</t>
  </si>
  <si>
    <t>急疳</t>
  </si>
  <si>
    <t>気疳（附：疳𧏾）</t>
  </si>
  <si>
    <t>鬼火丹（并：吉竈丹）</t>
  </si>
  <si>
    <t>蜞蜍毒</t>
  </si>
  <si>
    <t>灸瘡</t>
  </si>
  <si>
    <t>牛癬</t>
  </si>
  <si>
    <t>起泛</t>
  </si>
  <si>
    <t>瘧疾</t>
  </si>
  <si>
    <t>起脹</t>
  </si>
  <si>
    <t>気分</t>
  </si>
  <si>
    <t>瘧母</t>
  </si>
  <si>
    <t>驚癇</t>
  </si>
  <si>
    <t>気疝</t>
  </si>
  <si>
    <t>牛癇</t>
  </si>
  <si>
    <t>筋疝</t>
  </si>
  <si>
    <t>驚悸</t>
  </si>
  <si>
    <t>筋極（并：気極）</t>
  </si>
  <si>
    <t>鬼忤</t>
  </si>
  <si>
    <t>近血</t>
  </si>
  <si>
    <t>気㿗</t>
  </si>
  <si>
    <t>筋痺</t>
  </si>
  <si>
    <t>鬼病</t>
  </si>
  <si>
    <t>金瘡</t>
  </si>
  <si>
    <t>虚煩</t>
  </si>
  <si>
    <t>虚怯</t>
  </si>
  <si>
    <t>牛丁瘡</t>
  </si>
  <si>
    <t>虚労</t>
  </si>
  <si>
    <t>蜣蜋瘻</t>
  </si>
  <si>
    <t>気癭</t>
  </si>
  <si>
    <t>驚啼</t>
  </si>
  <si>
    <t>鞠瘻</t>
  </si>
  <si>
    <t>金糸瘡</t>
  </si>
  <si>
    <t>脚跟瘡</t>
  </si>
  <si>
    <t>逆産</t>
  </si>
  <si>
    <t>脚背発</t>
  </si>
  <si>
    <t>脚発</t>
  </si>
  <si>
    <t>脚肚瘡</t>
  </si>
  <si>
    <t>脚跟頽</t>
  </si>
  <si>
    <t>脚中牢</t>
  </si>
  <si>
    <t>脚破</t>
  </si>
  <si>
    <t>鬼舐頭</t>
  </si>
  <si>
    <t>灸瘡飛蝶</t>
  </si>
  <si>
    <t>騎馬癰</t>
  </si>
  <si>
    <t>筋瘤（并：気瘤　筋癭　気癭）</t>
  </si>
  <si>
    <t>竟体疽</t>
  </si>
  <si>
    <t>悸痛</t>
  </si>
  <si>
    <t>脚拳</t>
  </si>
  <si>
    <t>虚風</t>
  </si>
  <si>
    <t>金蚕毒（＝金蠶毒）</t>
  </si>
  <si>
    <t>肌死患</t>
  </si>
  <si>
    <t>脚汗</t>
  </si>
  <si>
    <t>筋肉化</t>
  </si>
  <si>
    <t>瘧後快症</t>
  </si>
  <si>
    <t>喜汗</t>
  </si>
  <si>
    <t>驚振翳</t>
  </si>
  <si>
    <t>脚指丫瘡</t>
  </si>
  <si>
    <t>筋解</t>
  </si>
  <si>
    <t>玉茎長腫</t>
  </si>
  <si>
    <t>牛狗疔</t>
  </si>
  <si>
    <t>狂毒</t>
  </si>
  <si>
    <t>玉翳</t>
  </si>
  <si>
    <t>喜飲油病</t>
  </si>
  <si>
    <t>朽骨</t>
  </si>
  <si>
    <t>魚臍疔</t>
  </si>
  <si>
    <t>鬼弾</t>
  </si>
  <si>
    <t>気嘔</t>
  </si>
  <si>
    <t>禁瘡</t>
  </si>
  <si>
    <t>肬（＝いぼ）</t>
  </si>
  <si>
    <t>鬼痘</t>
  </si>
  <si>
    <t>●　由部</t>
  </si>
  <si>
    <t>玉銜</t>
  </si>
  <si>
    <t>遊面風</t>
  </si>
  <si>
    <t>極病</t>
  </si>
  <si>
    <t>遊腫</t>
  </si>
  <si>
    <t>遊気</t>
  </si>
  <si>
    <t>※【狂風、寄風、糾風（已上三病注病附之）】目録にはあるも当該ページには無し</t>
  </si>
  <si>
    <t>※【鬼疔、魚尾疔、気疔、牛疔（已上四病疔瘡附之）】目録にはあるも当該ページには無し</t>
  </si>
  <si>
    <t>勇疽</t>
  </si>
  <si>
    <t>湧泉疽</t>
  </si>
  <si>
    <t>雄丁瘡</t>
  </si>
  <si>
    <t>疣目（魚目＝うおのめ　同）</t>
  </si>
  <si>
    <t>遊火丹</t>
  </si>
  <si>
    <t>面眼刺子</t>
  </si>
  <si>
    <t>湧疝</t>
  </si>
  <si>
    <t>面湮瘡</t>
  </si>
  <si>
    <t>眠瘡（附：破䐃）＝とこずれ</t>
  </si>
  <si>
    <t>貓眼精瘡</t>
  </si>
  <si>
    <t>●　女部</t>
  </si>
  <si>
    <t>遊走血脾癰</t>
  </si>
  <si>
    <t>幽癰</t>
  </si>
  <si>
    <t>脈極</t>
  </si>
  <si>
    <t>脈痔</t>
  </si>
  <si>
    <t>面皰（＝にきび）</t>
  </si>
  <si>
    <t>面塵</t>
  </si>
  <si>
    <t>脈痺</t>
  </si>
  <si>
    <t>面風毒</t>
  </si>
  <si>
    <t>●　美部</t>
  </si>
  <si>
    <t>面腫</t>
  </si>
  <si>
    <t>脈溢</t>
  </si>
  <si>
    <t>彌月</t>
  </si>
  <si>
    <t>●　志部</t>
  </si>
  <si>
    <t>脈疽</t>
  </si>
  <si>
    <t>傷湿</t>
  </si>
  <si>
    <t>傷風</t>
  </si>
  <si>
    <t>傷暑</t>
  </si>
  <si>
    <t>傷食</t>
  </si>
  <si>
    <t>酒客病</t>
  </si>
  <si>
    <t>酒癖（酒積とも言う）</t>
  </si>
  <si>
    <t>酒疸</t>
  </si>
  <si>
    <t>酒黄</t>
  </si>
  <si>
    <t>傷寒発頤</t>
  </si>
  <si>
    <t>時毒</t>
  </si>
  <si>
    <t>手発背</t>
  </si>
  <si>
    <t>腫瘍</t>
  </si>
  <si>
    <t>痔漏</t>
  </si>
  <si>
    <t>浸淫瘡</t>
  </si>
  <si>
    <t>赤疵</t>
  </si>
  <si>
    <t>手㿐瘡</t>
  </si>
  <si>
    <t>手疣</t>
  </si>
  <si>
    <t>蛇瘻</t>
  </si>
  <si>
    <t>椒眼発</t>
  </si>
  <si>
    <t>赤白瘻</t>
  </si>
  <si>
    <t>雀瘻</t>
  </si>
  <si>
    <t>雌丁瘡</t>
  </si>
  <si>
    <t>人面瘡</t>
  </si>
  <si>
    <t>雀眼癬</t>
  </si>
  <si>
    <t>上水魚</t>
  </si>
  <si>
    <t>雀斑（＝そばかす）</t>
  </si>
  <si>
    <t>集瘡</t>
  </si>
  <si>
    <t>腎臓風瘡</t>
  </si>
  <si>
    <t>心癰（并：心疽）</t>
  </si>
  <si>
    <t>蛇瘴</t>
  </si>
  <si>
    <t>蛇虱</t>
  </si>
  <si>
    <t>新婦瘡</t>
  </si>
  <si>
    <t>脧痛</t>
  </si>
  <si>
    <t>徐疽</t>
  </si>
  <si>
    <t>上搭</t>
  </si>
  <si>
    <t>上鼠疽</t>
  </si>
  <si>
    <t>漆瘡（＝うるしかぶれ）</t>
  </si>
  <si>
    <t>疵癰</t>
  </si>
  <si>
    <t>赤施</t>
  </si>
  <si>
    <t>顖陥</t>
  </si>
  <si>
    <t>雀目（＝とりめ）</t>
  </si>
  <si>
    <t>顖塡</t>
  </si>
  <si>
    <t>食疳（乳食同じ）</t>
  </si>
  <si>
    <t>四淫</t>
  </si>
  <si>
    <t>支飲</t>
  </si>
  <si>
    <t>少気</t>
  </si>
  <si>
    <t>生泡</t>
  </si>
  <si>
    <t>手牛押屈</t>
  </si>
  <si>
    <t>上気</t>
  </si>
  <si>
    <t>徇蒙</t>
  </si>
  <si>
    <t>衝疽</t>
  </si>
  <si>
    <t>小腹疽</t>
  </si>
  <si>
    <t>紫襠風</t>
  </si>
  <si>
    <t>上搭手</t>
  </si>
  <si>
    <t>赤根丁瘡</t>
  </si>
  <si>
    <t>湿陰瘡</t>
  </si>
  <si>
    <t>手逆臚</t>
  </si>
  <si>
    <t>腫核</t>
  </si>
  <si>
    <t>瘇敦疽</t>
  </si>
  <si>
    <t>乗枕風</t>
  </si>
  <si>
    <t>赤瞎</t>
  </si>
  <si>
    <t>蛇体（并：蛇身）</t>
  </si>
  <si>
    <t>赤流腫</t>
  </si>
  <si>
    <t>赤遊風</t>
  </si>
  <si>
    <t>歯音離</t>
  </si>
  <si>
    <t>赤白痢</t>
  </si>
  <si>
    <t>赤痢</t>
  </si>
  <si>
    <t>瀉痢</t>
  </si>
  <si>
    <t>歯䘌（＝むしくいば）</t>
  </si>
  <si>
    <t>湿瀉</t>
  </si>
  <si>
    <t>歯漏</t>
  </si>
  <si>
    <t>髭発</t>
  </si>
  <si>
    <t>唇瀋</t>
  </si>
  <si>
    <t>酒皶鼻（＝ざくろはな）</t>
  </si>
  <si>
    <t>歯蟲</t>
  </si>
  <si>
    <t>侵風</t>
  </si>
  <si>
    <t>手気</t>
  </si>
  <si>
    <t>歯齲注</t>
  </si>
  <si>
    <t>歯挺</t>
  </si>
  <si>
    <t>朱田丹火</t>
  </si>
  <si>
    <t>赤瘤（并：赤遊丹　首火丹）</t>
  </si>
  <si>
    <t>赤遊腫</t>
  </si>
  <si>
    <t>赤鼻</t>
  </si>
  <si>
    <t>赤丹</t>
  </si>
  <si>
    <t>手叉発</t>
  </si>
  <si>
    <t>赤黒丹</t>
  </si>
  <si>
    <t>茱萸火丹</t>
  </si>
  <si>
    <t>蛇節疔</t>
  </si>
  <si>
    <t>神火丹</t>
  </si>
  <si>
    <t>漿足</t>
  </si>
  <si>
    <t>赤膈傷寒</t>
  </si>
  <si>
    <t>瀼瀉</t>
  </si>
  <si>
    <t>寝汗</t>
  </si>
  <si>
    <t>沙魘</t>
  </si>
  <si>
    <t>震耳</t>
  </si>
  <si>
    <t>收靨</t>
  </si>
  <si>
    <t>心汗</t>
  </si>
  <si>
    <t>実血疝</t>
  </si>
  <si>
    <t>沙痁</t>
  </si>
  <si>
    <t>膝遊風（并：膝眼毒　膝癰）</t>
  </si>
  <si>
    <t>上馬癰</t>
  </si>
  <si>
    <t>痣（＝ほくろ）</t>
  </si>
  <si>
    <t>痣黶（＝あざ）</t>
  </si>
  <si>
    <t>積聚</t>
  </si>
  <si>
    <t>湿癬</t>
  </si>
  <si>
    <t>蛇螫</t>
  </si>
  <si>
    <t>湿疥</t>
  </si>
  <si>
    <t>褥風</t>
  </si>
  <si>
    <t>尸注</t>
  </si>
  <si>
    <t>時気</t>
  </si>
  <si>
    <t>尸気</t>
  </si>
  <si>
    <t>竪弦</t>
  </si>
  <si>
    <t>湿水</t>
  </si>
  <si>
    <t>尸厥</t>
  </si>
  <si>
    <t>小腸気</t>
  </si>
  <si>
    <t>鬚黄</t>
  </si>
  <si>
    <t>小便血</t>
  </si>
  <si>
    <t>湿痺注</t>
  </si>
  <si>
    <t>食注</t>
  </si>
  <si>
    <t>赤禿瘡</t>
  </si>
  <si>
    <t>珠管</t>
  </si>
  <si>
    <t>嗣面</t>
  </si>
  <si>
    <t>針眼</t>
  </si>
  <si>
    <t>失枕（＝ねちがえ＝寝違え）</t>
  </si>
  <si>
    <t>邪崇</t>
  </si>
  <si>
    <t>手足発胝</t>
  </si>
  <si>
    <t>衝悪</t>
  </si>
  <si>
    <t>心痺</t>
  </si>
  <si>
    <t>腎労</t>
  </si>
  <si>
    <t>心𩞄</t>
  </si>
  <si>
    <t>子淋</t>
  </si>
  <si>
    <t>食瘧</t>
  </si>
  <si>
    <t>腎瀉（五更瀉同）</t>
  </si>
  <si>
    <t>食嘔</t>
  </si>
  <si>
    <t>手足皹裂</t>
  </si>
  <si>
    <t>尸脚</t>
  </si>
  <si>
    <t>子舌</t>
  </si>
  <si>
    <t>子気</t>
  </si>
  <si>
    <t>食痛</t>
  </si>
  <si>
    <t>心労</t>
  </si>
  <si>
    <t>子懸</t>
  </si>
  <si>
    <t>小産</t>
  </si>
  <si>
    <t>痓病</t>
  </si>
  <si>
    <t>傷産</t>
  </si>
  <si>
    <t>子煩</t>
  </si>
  <si>
    <t>新産</t>
  </si>
  <si>
    <t>子腸不收</t>
  </si>
  <si>
    <t>子腫</t>
  </si>
  <si>
    <t>赤濁</t>
  </si>
  <si>
    <t>赤帯下（并：赤白帯下）</t>
  </si>
  <si>
    <t>瘴気</t>
  </si>
  <si>
    <t>赤癜</t>
  </si>
  <si>
    <t>刺風</t>
  </si>
  <si>
    <t>柔風</t>
  </si>
  <si>
    <t>柔痓</t>
  </si>
  <si>
    <t>射工</t>
  </si>
  <si>
    <t>沙蝨</t>
  </si>
  <si>
    <t>沙子（痧同）</t>
  </si>
  <si>
    <t>瘴瘧</t>
  </si>
  <si>
    <t>酒痔</t>
  </si>
  <si>
    <t>腎漏</t>
  </si>
  <si>
    <t>砂淋（并：砂石淋）</t>
  </si>
  <si>
    <t>心忡脈乱</t>
  </si>
  <si>
    <t>虱瘤（并：真虱瘤）</t>
  </si>
  <si>
    <t>酒風</t>
  </si>
  <si>
    <t>子瘖</t>
  </si>
  <si>
    <t>人疴</t>
  </si>
  <si>
    <t>試月</t>
  </si>
  <si>
    <t>自囓舌（并：囓頬　囓唇）</t>
  </si>
  <si>
    <t>子母虫</t>
  </si>
  <si>
    <t>消麪虫</t>
  </si>
  <si>
    <t>屍虫</t>
  </si>
  <si>
    <t>試水</t>
  </si>
  <si>
    <t>死枕愈病</t>
  </si>
  <si>
    <t>人化為水</t>
  </si>
  <si>
    <t>腎硬</t>
  </si>
  <si>
    <t>人縮</t>
  </si>
  <si>
    <t>聚毒塞喉風</t>
  </si>
  <si>
    <t>沙発病</t>
  </si>
  <si>
    <t>蒸病</t>
  </si>
  <si>
    <t>消食籠</t>
  </si>
  <si>
    <t>四肢如石</t>
  </si>
  <si>
    <t>渋翳</t>
  </si>
  <si>
    <t>日遊腫</t>
  </si>
  <si>
    <t>食掛</t>
  </si>
  <si>
    <t>鄒脚</t>
  </si>
  <si>
    <t>首疽</t>
  </si>
  <si>
    <t>紫疔</t>
  </si>
  <si>
    <t>蛇頭瘡</t>
  </si>
  <si>
    <t>室火丹</t>
  </si>
  <si>
    <t>小腹癰</t>
  </si>
  <si>
    <t>心瘥</t>
  </si>
  <si>
    <t>肢腫</t>
  </si>
  <si>
    <t>臭田螺</t>
  </si>
  <si>
    <t>唇風</t>
  </si>
  <si>
    <t>酒食衄</t>
  </si>
  <si>
    <t>腎縮</t>
  </si>
  <si>
    <t>笑不休</t>
  </si>
  <si>
    <t>食瘥</t>
  </si>
  <si>
    <t>真脚気</t>
  </si>
  <si>
    <t>酒瘕</t>
  </si>
  <si>
    <t>尸咽</t>
  </si>
  <si>
    <t>腎傷寒</t>
  </si>
  <si>
    <t>酒注</t>
  </si>
  <si>
    <t>柔風結</t>
  </si>
  <si>
    <t>酒毒発疽</t>
  </si>
  <si>
    <t>真珠翳</t>
  </si>
  <si>
    <t>蛇眼疔</t>
  </si>
  <si>
    <t>心液汗</t>
  </si>
  <si>
    <t>赤沢裁蓮</t>
  </si>
  <si>
    <t>侵嚢</t>
  </si>
  <si>
    <t>尸頭発疽</t>
  </si>
  <si>
    <t>小冒</t>
  </si>
  <si>
    <t>小■（疒+弟）</t>
  </si>
  <si>
    <t>酒悖</t>
  </si>
  <si>
    <t>脂瘕</t>
  </si>
  <si>
    <t>鍾</t>
  </si>
  <si>
    <t>蛇瘕</t>
  </si>
  <si>
    <t>嗜眠</t>
  </si>
  <si>
    <t>心漏</t>
  </si>
  <si>
    <t>侵脳疽</t>
  </si>
  <si>
    <t>蛇出瘡</t>
  </si>
  <si>
    <t>食㑊</t>
  </si>
  <si>
    <t>唇疽</t>
  </si>
  <si>
    <t>赤脈</t>
  </si>
  <si>
    <t>上竄</t>
  </si>
  <si>
    <t>心懸</t>
  </si>
  <si>
    <t>心驚（并：心悸　心忪）</t>
  </si>
  <si>
    <t>歯衄</t>
  </si>
  <si>
    <t>小腸癰</t>
  </si>
  <si>
    <t>食復（并：労復）</t>
  </si>
  <si>
    <t>漆面刺肉</t>
  </si>
  <si>
    <t>※【髭疔（疔瘡附之）、赤面疔（同）、赤疔（同）、芝麻疔（同）、茱萸疔（同）、蛇頭疔（同）、子母痘（天瘡附之）、出盡無留毒（同上）、蚝風（注病附之）、柔風結（同上）】目録にはあるも当該ページには無し</t>
  </si>
  <si>
    <t>●　恵部</t>
  </si>
  <si>
    <t>影嚢</t>
  </si>
  <si>
    <t>鋭毒</t>
  </si>
  <si>
    <t>掩頸風</t>
  </si>
  <si>
    <t>鋭疽</t>
  </si>
  <si>
    <t>腋臭（并：腋気）</t>
  </si>
  <si>
    <t>疫癘</t>
  </si>
  <si>
    <t>燕子瘋</t>
  </si>
  <si>
    <t>燕窠癧</t>
  </si>
  <si>
    <t>噦</t>
  </si>
  <si>
    <t>豌豆瘡</t>
  </si>
  <si>
    <t>円癬</t>
  </si>
  <si>
    <t>偃月翳</t>
  </si>
  <si>
    <t>燕口吻瘡（并：燕瘡）</t>
  </si>
  <si>
    <t>円翳</t>
  </si>
  <si>
    <t>遠血</t>
  </si>
  <si>
    <t>塩膚疔</t>
  </si>
  <si>
    <t>魘不寤</t>
  </si>
  <si>
    <t>腋癰</t>
  </si>
  <si>
    <t>燕窩疔</t>
  </si>
  <si>
    <t>淵疽</t>
  </si>
  <si>
    <t>病䗔</t>
  </si>
  <si>
    <t>病穿板</t>
  </si>
  <si>
    <t>貧子盂</t>
  </si>
  <si>
    <t>猿猴跳鎖</t>
  </si>
  <si>
    <t>●　比部</t>
  </si>
  <si>
    <t>病穿掌</t>
  </si>
  <si>
    <t>病蝦</t>
  </si>
  <si>
    <t>病蛇節</t>
  </si>
  <si>
    <t>鼻齄</t>
  </si>
  <si>
    <t>鼻齆</t>
  </si>
  <si>
    <t>鼻大衄</t>
  </si>
  <si>
    <t>鼻衄</t>
  </si>
  <si>
    <t>病蟹叉</t>
  </si>
  <si>
    <t>病繭</t>
  </si>
  <si>
    <t>鼻鼽</t>
  </si>
  <si>
    <t>皮株子風</t>
  </si>
  <si>
    <t>鼻瘡</t>
  </si>
  <si>
    <t>牝痔</t>
  </si>
  <si>
    <t>肥瘡</t>
  </si>
  <si>
    <t>蚍蜉瘻</t>
  </si>
  <si>
    <t>牝瘧</t>
  </si>
  <si>
    <t>※【飛糸毒】目録にはあるも当該ページには無し</t>
  </si>
  <si>
    <t>飛尸</t>
  </si>
  <si>
    <t>肥気</t>
  </si>
  <si>
    <t>痞気</t>
  </si>
  <si>
    <t>痺風</t>
  </si>
  <si>
    <t>微注</t>
  </si>
  <si>
    <t>微風</t>
  </si>
  <si>
    <t>白濁</t>
  </si>
  <si>
    <t>白帯</t>
  </si>
  <si>
    <t>飛痘</t>
  </si>
  <si>
    <t>飛頭蠻</t>
  </si>
  <si>
    <t>白淫</t>
  </si>
  <si>
    <t>痞塊</t>
  </si>
  <si>
    <t>秘結</t>
  </si>
  <si>
    <t>百歳瘡</t>
  </si>
  <si>
    <t>鼻毛如線</t>
  </si>
  <si>
    <t>鬢疽</t>
  </si>
  <si>
    <t>氷翳</t>
  </si>
  <si>
    <t>眉稜骨痛</t>
  </si>
  <si>
    <t>病鬼</t>
  </si>
  <si>
    <t>眉心疽</t>
  </si>
  <si>
    <t>飛血</t>
  </si>
  <si>
    <t>皮水</t>
  </si>
  <si>
    <t>肥目</t>
  </si>
  <si>
    <t>脾癉</t>
  </si>
  <si>
    <t>白癩</t>
  </si>
  <si>
    <t>腓腨発</t>
  </si>
  <si>
    <t>脾発疽</t>
  </si>
  <si>
    <t>毛水</t>
  </si>
  <si>
    <t>●　毛部</t>
  </si>
  <si>
    <t>猛疽</t>
  </si>
  <si>
    <t>目眥瘍</t>
  </si>
  <si>
    <t>※【脾疔（疔瘡附之）、眉疔、鼻疔】目録にはあるも当該ページには無し</t>
  </si>
  <si>
    <t>箄漏</t>
  </si>
  <si>
    <t>●　世部</t>
  </si>
  <si>
    <t>※【木生（漆瘡同）、蒙頭（天瘡附之）】目録にはあるも当該ページには無し</t>
  </si>
  <si>
    <t>毛髪銅鉄</t>
  </si>
  <si>
    <t>毛際癰</t>
  </si>
  <si>
    <t>怔忡（＝むなさわぎ）</t>
  </si>
  <si>
    <t>臍風（并：撮口）</t>
  </si>
  <si>
    <t>喘息</t>
  </si>
  <si>
    <t>蝉舌風</t>
  </si>
  <si>
    <t>癬（＝たむし、ぜにがさ、はたけ）</t>
  </si>
  <si>
    <t>石癰（并：石疽）</t>
  </si>
  <si>
    <t>蠐螬瘻</t>
  </si>
  <si>
    <t>井疽</t>
  </si>
  <si>
    <t>痁病</t>
  </si>
  <si>
    <t>舌黄風</t>
  </si>
  <si>
    <t>精濁</t>
  </si>
  <si>
    <t>穿襠発</t>
  </si>
  <si>
    <t>脊疳</t>
  </si>
  <si>
    <t>攝領瘡</t>
  </si>
  <si>
    <t>精滑</t>
  </si>
  <si>
    <t>石鞠瘻</t>
  </si>
  <si>
    <t>石癭</t>
  </si>
  <si>
    <t>石瘻</t>
  </si>
  <si>
    <t>石蛭螫</t>
  </si>
  <si>
    <t>截腸病</t>
  </si>
  <si>
    <t>石瘕</t>
  </si>
  <si>
    <t>掣顫</t>
  </si>
  <si>
    <t>遶蹕風</t>
  </si>
  <si>
    <t>洗頭風</t>
  </si>
  <si>
    <t>舌衄</t>
  </si>
  <si>
    <t>瘄子</t>
  </si>
  <si>
    <t>鱔漏</t>
  </si>
  <si>
    <t>蟯瘕</t>
  </si>
  <si>
    <t>聖瘡</t>
  </si>
  <si>
    <t>星白瘡</t>
  </si>
  <si>
    <t>泄瀉（泄と洩同）</t>
  </si>
  <si>
    <t>正産</t>
  </si>
  <si>
    <t>旋螺尖起</t>
  </si>
  <si>
    <t>臍漏</t>
  </si>
  <si>
    <t>臍突（＝でべそ）</t>
  </si>
  <si>
    <t>臍蟲</t>
  </si>
  <si>
    <t>石榴疽</t>
  </si>
  <si>
    <t>剰骨癰</t>
  </si>
  <si>
    <t>穿踝疽</t>
  </si>
  <si>
    <t>臍瘡</t>
  </si>
  <si>
    <t>折傷衄</t>
  </si>
  <si>
    <t>石疔</t>
  </si>
  <si>
    <t>石火丹</t>
  </si>
  <si>
    <t>石注</t>
  </si>
  <si>
    <t>石水</t>
  </si>
  <si>
    <t>青筋</t>
  </si>
  <si>
    <t>殺著馬𤷍</t>
  </si>
  <si>
    <t>石鼓無鳴</t>
  </si>
  <si>
    <t>青蛇便</t>
  </si>
  <si>
    <t>喘気病</t>
  </si>
  <si>
    <t>接骨馬𤷍</t>
  </si>
  <si>
    <t>穿腮毒</t>
  </si>
  <si>
    <t>臍癰</t>
  </si>
  <si>
    <t>穿心冷瘻</t>
  </si>
  <si>
    <t>清</t>
  </si>
  <si>
    <t>生注</t>
  </si>
  <si>
    <t>舌骨</t>
  </si>
  <si>
    <t>青瘕</t>
  </si>
  <si>
    <t>閃挫</t>
  </si>
  <si>
    <t>※【臍疔（疔瘡附之）、絶風（注病附之）、正疹子】目録にはあるも当該ページには無し</t>
  </si>
  <si>
    <t>水腫</t>
  </si>
  <si>
    <t>●　寸部</t>
  </si>
  <si>
    <t>水疝</t>
  </si>
  <si>
    <t>吹乳</t>
  </si>
  <si>
    <t>水丹</t>
  </si>
  <si>
    <t>水㿗</t>
  </si>
  <si>
    <t>髄溢病</t>
  </si>
  <si>
    <t>水分</t>
  </si>
  <si>
    <t>水沙（并：水傷寒）</t>
  </si>
  <si>
    <t>水癖</t>
  </si>
  <si>
    <t>水蠱</t>
  </si>
  <si>
    <t>水逆</t>
  </si>
  <si>
    <t>水嗆</t>
  </si>
  <si>
    <t>寸白虫</t>
  </si>
  <si>
    <t>晬嗽</t>
  </si>
  <si>
    <t>錐鋭癧</t>
  </si>
  <si>
    <t>水疔瘡</t>
  </si>
  <si>
    <t>水洗疔</t>
  </si>
  <si>
    <t>脆脚</t>
  </si>
  <si>
    <t>推車陥雪</t>
  </si>
  <si>
    <t>水注</t>
  </si>
  <si>
    <t>水禁</t>
  </si>
  <si>
    <t>水虎</t>
  </si>
  <si>
    <t>垂癰</t>
  </si>
  <si>
    <t>寸疔</t>
  </si>
  <si>
    <t>水風</t>
  </si>
  <si>
    <t>病名彙解跋</t>
  </si>
  <si>
    <t>（刊記）梅村弥右衛門，植村藤右衛門</t>
  </si>
  <si>
    <t>万病回春</t>
    <phoneticPr fontId="6"/>
  </si>
  <si>
    <t>(明)龔廷賢編：1615年</t>
    <rPh sb="12" eb="13">
      <t>ネン</t>
    </rPh>
    <phoneticPr fontId="6"/>
  </si>
  <si>
    <t>https://rmda.kulib.kyoto-u.ac.jp/item/rb00005276</t>
    <phoneticPr fontId="6"/>
  </si>
  <si>
    <t>(回春)病因指南 6巻：岡本一抱</t>
  </si>
  <si>
    <t>万病回春</t>
  </si>
  <si>
    <t>巻之一</t>
  </si>
  <si>
    <t>序</t>
  </si>
  <si>
    <t>目録</t>
    <rPh sb="0" eb="2">
      <t>モクロク</t>
    </rPh>
    <phoneticPr fontId="6"/>
  </si>
  <si>
    <t>題目</t>
    <rPh sb="0" eb="2">
      <t>ダイモク</t>
    </rPh>
    <phoneticPr fontId="6"/>
  </si>
  <si>
    <t>万金一統述</t>
  </si>
  <si>
    <t>薬性歌</t>
  </si>
  <si>
    <t>諸病主薬</t>
  </si>
  <si>
    <t>釈形体</t>
  </si>
  <si>
    <t>周身臓腑形状</t>
  </si>
  <si>
    <t>人身面背手足之図</t>
  </si>
  <si>
    <t>十二経脈歌</t>
  </si>
  <si>
    <t>十二月七十二候歌</t>
  </si>
  <si>
    <t>運気候節交応時刻数訣</t>
  </si>
  <si>
    <t>巻之二</t>
  </si>
  <si>
    <t>真中風証</t>
  </si>
  <si>
    <t>■</t>
  </si>
  <si>
    <t>類中風証</t>
  </si>
  <si>
    <t>預防中風</t>
  </si>
  <si>
    <t>中暑</t>
  </si>
  <si>
    <t>火証</t>
  </si>
  <si>
    <t>飲食</t>
  </si>
  <si>
    <t>欝証</t>
    <rPh sb="0" eb="1">
      <t>ウツ</t>
    </rPh>
    <phoneticPr fontId="6"/>
  </si>
  <si>
    <t>哮吼</t>
  </si>
  <si>
    <t>巻之三</t>
  </si>
  <si>
    <t>痢疾</t>
  </si>
  <si>
    <t>泄瀉</t>
  </si>
  <si>
    <t>翻胃</t>
  </si>
  <si>
    <t>呃逆</t>
  </si>
  <si>
    <t>噯気</t>
  </si>
  <si>
    <t>呑酸</t>
  </si>
  <si>
    <t>𩞄雑（嘈雑）</t>
    <phoneticPr fontId="6"/>
  </si>
  <si>
    <t>諸気</t>
  </si>
  <si>
    <t>痞満</t>
  </si>
  <si>
    <t>五疸</t>
  </si>
  <si>
    <t>痼冷</t>
  </si>
  <si>
    <t>附 黄腫胖病</t>
    <rPh sb="0" eb="1">
      <t>フ</t>
    </rPh>
    <rPh sb="2" eb="3">
      <t>キ</t>
    </rPh>
    <rPh sb="3" eb="4">
      <t>シュ</t>
    </rPh>
    <rPh sb="4" eb="5">
      <t>ハン</t>
    </rPh>
    <rPh sb="5" eb="6">
      <t>ビョウ</t>
    </rPh>
    <phoneticPr fontId="6"/>
  </si>
  <si>
    <t>発熱</t>
  </si>
  <si>
    <t>巻之四</t>
  </si>
  <si>
    <t>補益</t>
  </si>
  <si>
    <t>附　弁人情</t>
    <rPh sb="0" eb="1">
      <t>フ</t>
    </rPh>
    <rPh sb="3" eb="5">
      <t>ニンジョウ</t>
    </rPh>
    <phoneticPr fontId="6"/>
  </si>
  <si>
    <t>失血</t>
  </si>
  <si>
    <t>悪熱</t>
  </si>
  <si>
    <t>悪寒</t>
  </si>
  <si>
    <t>汗証</t>
  </si>
  <si>
    <t>癲狂</t>
  </si>
  <si>
    <t>癇証</t>
  </si>
  <si>
    <t>怔忡</t>
  </si>
  <si>
    <t>厥証</t>
  </si>
  <si>
    <t>濁証</t>
  </si>
  <si>
    <t>淋証</t>
  </si>
  <si>
    <t>小便閉</t>
  </si>
  <si>
    <t>大便閉</t>
  </si>
  <si>
    <t>大小便閉</t>
  </si>
  <si>
    <t>諸蟲</t>
  </si>
  <si>
    <t>巻之五</t>
  </si>
  <si>
    <t>鬚髪</t>
  </si>
  <si>
    <t>面病</t>
  </si>
  <si>
    <t>耳病</t>
  </si>
  <si>
    <t>鼻病</t>
  </si>
  <si>
    <t>口舌</t>
  </si>
  <si>
    <t>牙歯</t>
  </si>
  <si>
    <t>眼目</t>
  </si>
  <si>
    <t>咽喉</t>
  </si>
  <si>
    <t>腹痛</t>
  </si>
  <si>
    <t>腰痛</t>
  </si>
  <si>
    <t>脈：腰痛之脈，必沈而弦。沈微気滞，弦損腎元；或浮而緊，風寒所纏；湿傷濡細，実閃挫然；渋為瘀血，滑痰火煎；或引背痛，沈滑等症。大抵腰痛新久総属腎虚。新痛宜疏外邪、清湿熱；久則補腎，兼補気血。常常腰痛者，腎虚也。</t>
    <phoneticPr fontId="6"/>
  </si>
  <si>
    <t>臂痛</t>
  </si>
  <si>
    <t>背痛</t>
  </si>
  <si>
    <t>脚気</t>
    <rPh sb="0" eb="2">
      <t>カッケ</t>
    </rPh>
    <phoneticPr fontId="6"/>
  </si>
  <si>
    <t>㿗疝</t>
    <rPh sb="0" eb="2">
      <t>タイセン</t>
    </rPh>
    <phoneticPr fontId="6"/>
  </si>
  <si>
    <t>痿躄</t>
    <phoneticPr fontId="6"/>
  </si>
  <si>
    <t>痓病</t>
    <rPh sb="0" eb="1">
      <t>シ</t>
    </rPh>
    <phoneticPr fontId="6"/>
  </si>
  <si>
    <t>巻之六</t>
  </si>
  <si>
    <t>婦人科</t>
  </si>
  <si>
    <t>調経</t>
  </si>
  <si>
    <t>調理</t>
    <rPh sb="0" eb="2">
      <t>チョウリ</t>
    </rPh>
    <phoneticPr fontId="6"/>
  </si>
  <si>
    <t>求嗣</t>
  </si>
  <si>
    <t>産育</t>
  </si>
  <si>
    <t>産後</t>
  </si>
  <si>
    <t>乳病</t>
  </si>
  <si>
    <t>婦人諸病</t>
  </si>
  <si>
    <t>巻之七</t>
  </si>
  <si>
    <t>小児科</t>
  </si>
  <si>
    <t>急驚</t>
  </si>
  <si>
    <t>慢驚</t>
  </si>
  <si>
    <t>驚後調治</t>
  </si>
  <si>
    <t>驚後調理</t>
    <phoneticPr fontId="6"/>
  </si>
  <si>
    <t>疳疾</t>
  </si>
  <si>
    <t>諸熱</t>
  </si>
  <si>
    <t>腹脹</t>
  </si>
  <si>
    <t>小児初生雑病</t>
  </si>
  <si>
    <t>小児雑病</t>
  </si>
  <si>
    <t>補遺秘方</t>
    <rPh sb="0" eb="2">
      <t>ホイ</t>
    </rPh>
    <rPh sb="2" eb="4">
      <t>ヒホウ</t>
    </rPh>
    <phoneticPr fontId="6"/>
  </si>
  <si>
    <t>痘瘡諸症所因</t>
    <rPh sb="0" eb="2">
      <t>トウソウ</t>
    </rPh>
    <rPh sb="2" eb="3">
      <t>ショ</t>
    </rPh>
    <rPh sb="3" eb="4">
      <t>ショウ</t>
    </rPh>
    <rPh sb="4" eb="5">
      <t>ジョ</t>
    </rPh>
    <rPh sb="5" eb="6">
      <t>イン</t>
    </rPh>
    <phoneticPr fontId="6"/>
  </si>
  <si>
    <t>麻疹水痘</t>
    <rPh sb="0" eb="2">
      <t>マシン</t>
    </rPh>
    <rPh sb="2" eb="4">
      <t>スイトウ</t>
    </rPh>
    <phoneticPr fontId="6"/>
  </si>
  <si>
    <t>巻之八</t>
  </si>
  <si>
    <t>■ここから別版本</t>
  </si>
  <si>
    <t>瘰癧</t>
    <rPh sb="0" eb="2">
      <t>ルイレキ</t>
    </rPh>
    <phoneticPr fontId="6"/>
  </si>
  <si>
    <t>疔瘡</t>
  </si>
  <si>
    <t>臁瘡</t>
    <phoneticPr fontId="6"/>
  </si>
  <si>
    <t>癬瘡</t>
  </si>
  <si>
    <t>癘風</t>
  </si>
  <si>
    <t>諸瘡</t>
    <phoneticPr fontId="6"/>
  </si>
  <si>
    <t>諸瘡症戒破傷風</t>
    <rPh sb="0" eb="1">
      <t>ショ</t>
    </rPh>
    <rPh sb="2" eb="3">
      <t>ショウ</t>
    </rPh>
    <rPh sb="3" eb="4">
      <t>カイ</t>
    </rPh>
    <rPh sb="4" eb="7">
      <t>ハショウフウ</t>
    </rPh>
    <phoneticPr fontId="6"/>
  </si>
  <si>
    <t>杖瘡</t>
  </si>
  <si>
    <t>折傷</t>
  </si>
  <si>
    <t>湯火</t>
  </si>
  <si>
    <t>蟲獣</t>
  </si>
  <si>
    <t>五絶</t>
  </si>
  <si>
    <t>膏薬</t>
  </si>
  <si>
    <t>通治</t>
  </si>
  <si>
    <t>奇病</t>
  </si>
  <si>
    <t>雲林暇筆（凡十二条）</t>
  </si>
  <si>
    <t>叙雲林志行紀</t>
  </si>
  <si>
    <t>欠→他本で見る</t>
    <rPh sb="0" eb="1">
      <t>ケツ</t>
    </rPh>
    <rPh sb="2" eb="3">
      <t>タ</t>
    </rPh>
    <rPh sb="3" eb="4">
      <t>ホン</t>
    </rPh>
    <rPh sb="5" eb="6">
      <t>ミ</t>
    </rPh>
    <phoneticPr fontId="6"/>
  </si>
  <si>
    <t>後序</t>
  </si>
  <si>
    <t>(回春)病因指南 6巻：岡本一抱</t>
    <phoneticPr fontId="6"/>
  </si>
  <si>
    <t>岡本一抱(為竹)</t>
    <phoneticPr fontId="6"/>
  </si>
  <si>
    <t>(回春)病因指南</t>
  </si>
  <si>
    <t>巻之一</t>
    <rPh sb="2" eb="3">
      <t>1</t>
    </rPh>
    <phoneticPr fontId="6"/>
  </si>
  <si>
    <t>(回春)病因指南</t>
    <phoneticPr fontId="6"/>
  </si>
  <si>
    <t>喘急　哮吼</t>
    <phoneticPr fontId="6"/>
  </si>
  <si>
    <t>巻之二</t>
    <rPh sb="2" eb="3">
      <t>2</t>
    </rPh>
    <phoneticPr fontId="6"/>
  </si>
  <si>
    <t>附 黄腫胖病</t>
  </si>
  <si>
    <t>巻之三</t>
    <phoneticPr fontId="6"/>
  </si>
  <si>
    <t>巻之四</t>
    <phoneticPr fontId="6"/>
  </si>
  <si>
    <t>巻之五</t>
    <phoneticPr fontId="6"/>
  </si>
  <si>
    <t>臨産</t>
  </si>
  <si>
    <t>＊富士川文庫欠落あるため内閣文庫で補う</t>
    <rPh sb="1" eb="6">
      <t>フジカワブンコ</t>
    </rPh>
    <rPh sb="6" eb="8">
      <t>ケツラク</t>
    </rPh>
    <rPh sb="12" eb="16">
      <t>ナイカクブンコ</t>
    </rPh>
    <rPh sb="17" eb="18">
      <t>オギナ</t>
    </rPh>
    <phoneticPr fontId="6"/>
  </si>
  <si>
    <t>婦人諸病所因</t>
    <phoneticPr fontId="6"/>
  </si>
  <si>
    <t>巻之六</t>
    <phoneticPr fontId="6"/>
  </si>
  <si>
    <t>巻之七</t>
    <phoneticPr fontId="6"/>
  </si>
  <si>
    <t>病名彙考</t>
  </si>
  <si>
    <t>いろは順</t>
    <rPh sb="3" eb="4">
      <t>ジュン</t>
    </rPh>
    <phoneticPr fontId="6"/>
  </si>
  <si>
    <t>岡本一抱『万病回春指南』卷2・病名彙考</t>
    <rPh sb="0" eb="2">
      <t>オカモト</t>
    </rPh>
    <rPh sb="2" eb="3">
      <t>ハジメ</t>
    </rPh>
    <rPh sb="3" eb="4">
      <t>ホウ</t>
    </rPh>
    <rPh sb="5" eb="7">
      <t>マンビョウ</t>
    </rPh>
    <rPh sb="7" eb="9">
      <t>カイシュン</t>
    </rPh>
    <rPh sb="9" eb="11">
      <t>シナン</t>
    </rPh>
    <rPh sb="12" eb="13">
      <t>マキ</t>
    </rPh>
    <rPh sb="15" eb="17">
      <t>ビョウメイ</t>
    </rPh>
    <phoneticPr fontId="6"/>
  </si>
  <si>
    <t>い</t>
  </si>
  <si>
    <t>噎</t>
  </si>
  <si>
    <t>陰湿</t>
  </si>
  <si>
    <t>陰毒瘡</t>
  </si>
  <si>
    <t>陰癃</t>
  </si>
  <si>
    <t>隱軫/癮𤺋</t>
  </si>
  <si>
    <t>纉纒/纉纏</t>
  </si>
  <si>
    <t>ろ</t>
  </si>
  <si>
    <t>露睛気喘</t>
  </si>
  <si>
    <t>は</t>
  </si>
  <si>
    <t>梅核</t>
  </si>
  <si>
    <t>攀睛</t>
  </si>
  <si>
    <t>攀毛倒睫</t>
  </si>
  <si>
    <t>馬刀瘰</t>
  </si>
  <si>
    <t>盤腸気</t>
  </si>
  <si>
    <t>斑者陰陽毒気</t>
  </si>
  <si>
    <t>廃人</t>
  </si>
  <si>
    <t>背花瘡</t>
  </si>
  <si>
    <t>疤痕</t>
  </si>
  <si>
    <t>棒瘡</t>
  </si>
  <si>
    <t>白屑</t>
  </si>
  <si>
    <t>に</t>
  </si>
  <si>
    <t>耳聵</t>
  </si>
  <si>
    <t>肉癥</t>
  </si>
  <si>
    <t>乳癰</t>
  </si>
  <si>
    <t>肉瘤</t>
  </si>
  <si>
    <t>肉毬</t>
  </si>
  <si>
    <t>ほ</t>
  </si>
  <si>
    <t>膨膨</t>
  </si>
  <si>
    <t>綳脹</t>
  </si>
  <si>
    <t>発背疽</t>
  </si>
  <si>
    <t>へ</t>
  </si>
  <si>
    <t>偏正頭疼</t>
  </si>
  <si>
    <t>遍身綳脹</t>
  </si>
  <si>
    <t>偏墜気痛</t>
  </si>
  <si>
    <t>と</t>
  </si>
  <si>
    <t>痜瘡</t>
  </si>
  <si>
    <t>弩肉</t>
  </si>
  <si>
    <t>痘十候</t>
  </si>
  <si>
    <t>毒参陽位</t>
  </si>
  <si>
    <t>ち</t>
  </si>
  <si>
    <t>蓄血</t>
  </si>
  <si>
    <t>直視</t>
  </si>
  <si>
    <t>蓐労</t>
  </si>
  <si>
    <t>搐搦</t>
  </si>
  <si>
    <t>中満</t>
  </si>
  <si>
    <t>中暑中暍</t>
  </si>
  <si>
    <t>嗞煎</t>
  </si>
  <si>
    <t>嗞啀</t>
  </si>
  <si>
    <t>腸風蔵毒</t>
  </si>
  <si>
    <t>重腭/重舌</t>
  </si>
  <si>
    <t>虫獣傷</t>
  </si>
  <si>
    <t>り</t>
  </si>
  <si>
    <t>癃閉</t>
  </si>
  <si>
    <t>両手交瞀</t>
  </si>
  <si>
    <t>痢積</t>
  </si>
  <si>
    <t>る</t>
  </si>
  <si>
    <t>流注瘡</t>
  </si>
  <si>
    <t>を</t>
  </si>
  <si>
    <t>悪露</t>
  </si>
  <si>
    <t>懊憹</t>
  </si>
  <si>
    <t>応声/応（虫+聲）</t>
  </si>
  <si>
    <t>わ</t>
  </si>
  <si>
    <t>黄疱</t>
  </si>
  <si>
    <t>か</t>
  </si>
  <si>
    <t>癇</t>
  </si>
  <si>
    <t>客忤</t>
  </si>
  <si>
    <t>膈</t>
    <rPh sb="0" eb="1">
      <t>カク</t>
    </rPh>
    <phoneticPr fontId="6"/>
  </si>
  <si>
    <t>鵞掌風癬</t>
  </si>
  <si>
    <t>寒慄</t>
  </si>
  <si>
    <t>乾咳</t>
  </si>
  <si>
    <t>疥癩</t>
  </si>
  <si>
    <t>乾血気</t>
  </si>
  <si>
    <t>汗綴如珠</t>
  </si>
  <si>
    <t>疳癖</t>
  </si>
  <si>
    <t>汗者陰陽偏勝</t>
  </si>
  <si>
    <t>呵欠</t>
  </si>
  <si>
    <t>交牙</t>
  </si>
  <si>
    <t>眼封閉</t>
  </si>
  <si>
    <t>絞痛</t>
  </si>
  <si>
    <t>脚気流疰（流注）</t>
  </si>
  <si>
    <t>眼花</t>
  </si>
  <si>
    <t>交睫</t>
  </si>
  <si>
    <t>蛟龍子食病</t>
  </si>
  <si>
    <t>交骨不閉</t>
  </si>
  <si>
    <t>㾬瘧/痎瘧</t>
  </si>
  <si>
    <t>よ</t>
  </si>
  <si>
    <t>癰疽五善</t>
  </si>
  <si>
    <t>た</t>
  </si>
  <si>
    <t>溏泄</t>
  </si>
  <si>
    <t>倒靨</t>
  </si>
  <si>
    <t>胎逆喘急</t>
  </si>
  <si>
    <t>湯火傷</t>
  </si>
  <si>
    <t>痰話</t>
  </si>
  <si>
    <t>痰瘈</t>
  </si>
  <si>
    <t>歹瘡</t>
  </si>
  <si>
    <t>濁涕</t>
  </si>
  <si>
    <t>大腸虚閉</t>
  </si>
  <si>
    <t>単乳鵞／単乳蛾</t>
  </si>
  <si>
    <t>大頭瘟病</t>
  </si>
  <si>
    <t>れ</t>
  </si>
  <si>
    <t>潦泡</t>
  </si>
  <si>
    <t>厲風</t>
  </si>
  <si>
    <t>そ</t>
  </si>
  <si>
    <t>疽痿</t>
  </si>
  <si>
    <t>卒死</t>
  </si>
  <si>
    <t>増寒</t>
  </si>
  <si>
    <t>走刺気痛</t>
  </si>
  <si>
    <t>つ</t>
  </si>
  <si>
    <t>痛一陣</t>
  </si>
  <si>
    <t>頭旋</t>
  </si>
  <si>
    <t>ね</t>
  </si>
  <si>
    <t>熱瘰</t>
  </si>
  <si>
    <t>な</t>
  </si>
  <si>
    <t>内弔/内釣</t>
  </si>
  <si>
    <t>内疽</t>
  </si>
  <si>
    <t>ら</t>
  </si>
  <si>
    <t>爛弦風眼</t>
  </si>
  <si>
    <t>咯血唾血吐血</t>
  </si>
  <si>
    <t>癩頭瘡</t>
  </si>
  <si>
    <t>む</t>
  </si>
  <si>
    <t>無根火</t>
  </si>
  <si>
    <t>夢遺精滑</t>
  </si>
  <si>
    <t>う</t>
  </si>
  <si>
    <t>鬱/欝</t>
  </si>
  <si>
    <t>雲翳</t>
  </si>
  <si>
    <t>雲頭皮木</t>
  </si>
  <si>
    <t>の</t>
  </si>
  <si>
    <t>脳瀉</t>
  </si>
  <si>
    <t>膿瘤</t>
  </si>
  <si>
    <t>膿耳</t>
  </si>
  <si>
    <t>く</t>
  </si>
  <si>
    <t>鸖節/靏節/鶴節</t>
  </si>
  <si>
    <t>蚘虫/蛔虫/回虫</t>
  </si>
  <si>
    <t>恍惚</t>
  </si>
  <si>
    <t>滑腸</t>
  </si>
  <si>
    <t>頑瘡</t>
  </si>
  <si>
    <t>垂症</t>
  </si>
  <si>
    <t>串痛</t>
  </si>
  <si>
    <t>や</t>
  </si>
  <si>
    <t>痒塌</t>
  </si>
  <si>
    <t>陽水陰水</t>
  </si>
  <si>
    <t>陽㨩/陽挺</t>
  </si>
  <si>
    <t>羊鬚子瘡</t>
  </si>
  <si>
    <t>麻痛</t>
  </si>
  <si>
    <t>麻症没</t>
  </si>
  <si>
    <t>麻骨</t>
  </si>
  <si>
    <t>け</t>
  </si>
  <si>
    <t>言語蹇渋</t>
  </si>
  <si>
    <t>牙齦宣露</t>
  </si>
  <si>
    <t>血瘤</t>
  </si>
  <si>
    <t>痙</t>
  </si>
  <si>
    <t>竅子</t>
  </si>
  <si>
    <t>牙関緊急</t>
  </si>
  <si>
    <t>挟癭</t>
  </si>
  <si>
    <t>ふ</t>
  </si>
  <si>
    <t>物忤</t>
  </si>
  <si>
    <t>風刺</t>
  </si>
  <si>
    <t>風壅</t>
  </si>
  <si>
    <t>腹脹賁響</t>
  </si>
  <si>
    <t>風癩</t>
  </si>
  <si>
    <t>分娩</t>
  </si>
  <si>
    <t>風厲</t>
  </si>
  <si>
    <t>腹中引釣脇下有声</t>
  </si>
  <si>
    <t>風斑</t>
  </si>
  <si>
    <t>瘋塊</t>
  </si>
  <si>
    <t>不省人事</t>
  </si>
  <si>
    <t>粉刺</t>
  </si>
  <si>
    <t>不能瞻視</t>
  </si>
  <si>
    <t>腹上麻痺不仁</t>
  </si>
  <si>
    <t>こ</t>
  </si>
  <si>
    <t>拘攣</t>
  </si>
  <si>
    <t>骨労疰（骨労注）</t>
  </si>
  <si>
    <t>骨節呈露</t>
  </si>
  <si>
    <t>五心熱</t>
  </si>
  <si>
    <t>五般色淋</t>
  </si>
  <si>
    <t>狐気</t>
  </si>
  <si>
    <t>鼓脹/皷脹</t>
  </si>
  <si>
    <t>皷慄/鼓慄</t>
  </si>
  <si>
    <t>五虚</t>
  </si>
  <si>
    <t>齁喘</t>
  </si>
  <si>
    <t>五労七傷</t>
  </si>
  <si>
    <t>狐陽無陰/孤陽無陰</t>
  </si>
  <si>
    <t>紅痘疔</t>
  </si>
  <si>
    <t>骨骾喉</t>
  </si>
  <si>
    <t>五種泄瀉</t>
  </si>
  <si>
    <t>哭不啼</t>
  </si>
  <si>
    <t>鼓鬱乃坐/皷欝乃坐</t>
  </si>
  <si>
    <t>五発</t>
  </si>
  <si>
    <t>黒瘢点</t>
  </si>
  <si>
    <t>昏矇</t>
  </si>
  <si>
    <t>骨蒸</t>
  </si>
  <si>
    <t>骨瘤</t>
  </si>
  <si>
    <t>口眼喎斜</t>
    <phoneticPr fontId="6"/>
  </si>
  <si>
    <t>口眼歪斜</t>
  </si>
  <si>
    <t>て</t>
  </si>
  <si>
    <t>癲狗咬傷</t>
  </si>
  <si>
    <t>伝屍</t>
  </si>
  <si>
    <t>挺核</t>
  </si>
  <si>
    <t>天弔</t>
  </si>
  <si>
    <t>潮熱</t>
  </si>
  <si>
    <t>顛狂</t>
  </si>
  <si>
    <t>停耳</t>
  </si>
  <si>
    <t>停水</t>
  </si>
  <si>
    <t>疔痂</t>
  </si>
  <si>
    <t>疔毒</t>
  </si>
  <si>
    <t>潮搐</t>
  </si>
  <si>
    <t>疔瘻</t>
  </si>
  <si>
    <t>疔甲痛</t>
  </si>
  <si>
    <t>停食</t>
  </si>
  <si>
    <t>天疱</t>
  </si>
  <si>
    <t>あ</t>
  </si>
  <si>
    <t>鴨溏</t>
  </si>
  <si>
    <t>鴉声</t>
  </si>
  <si>
    <t>按之無血潮</t>
  </si>
  <si>
    <t>さ</t>
  </si>
  <si>
    <r>
      <rPr>
        <sz val="11"/>
        <color theme="1"/>
        <rFont val="游ゴシック"/>
        <family val="3"/>
        <charset val="136"/>
      </rPr>
      <t>慒</t>
    </r>
    <r>
      <rPr>
        <sz val="11"/>
        <color theme="1"/>
        <rFont val="ＭＳ Ｐゴシック"/>
        <family val="3"/>
        <charset val="128"/>
      </rPr>
      <t>〔忄+集〕</t>
    </r>
  </si>
  <si>
    <t>沙症</t>
  </si>
  <si>
    <t>瘡甲</t>
  </si>
  <si>
    <t>酸痛</t>
  </si>
  <si>
    <t>産乳死</t>
  </si>
  <si>
    <t>竄視</t>
  </si>
  <si>
    <t>嗆喉</t>
  </si>
  <si>
    <t>〔疒+曹〕鼻</t>
  </si>
  <si>
    <t>双乳鵞</t>
  </si>
  <si>
    <t>臍風腫硬如盤</t>
  </si>
  <si>
    <t>き</t>
  </si>
  <si>
    <t>筋惕</t>
  </si>
  <si>
    <t>吸吸短気</t>
  </si>
  <si>
    <t>九道有血</t>
  </si>
  <si>
    <t>急慢驚風</t>
  </si>
  <si>
    <t>筋骨平白疼痛</t>
  </si>
  <si>
    <t>虚飽</t>
  </si>
  <si>
    <t>吃逆/呃逆</t>
  </si>
  <si>
    <t>挙発</t>
  </si>
  <si>
    <t>気促</t>
  </si>
  <si>
    <t>鬼崇</t>
  </si>
  <si>
    <t>筋瘤</t>
  </si>
  <si>
    <t>急悶風</t>
  </si>
  <si>
    <t>驚怖</t>
  </si>
  <si>
    <t>魚睛瘡</t>
  </si>
  <si>
    <t>虚舌</t>
  </si>
  <si>
    <t>魚口気急</t>
  </si>
  <si>
    <t>金瘡在陰処</t>
  </si>
  <si>
    <t>亀胸</t>
  </si>
  <si>
    <t>め</t>
  </si>
  <si>
    <t>面色青惨</t>
  </si>
  <si>
    <t>面赤如粧</t>
  </si>
  <si>
    <t>綿花瘡</t>
  </si>
  <si>
    <t>面如刀刮</t>
  </si>
  <si>
    <t>子腸不収</t>
  </si>
  <si>
    <t>出如蚕種</t>
  </si>
  <si>
    <t>色淋</t>
  </si>
  <si>
    <t>七疝</t>
  </si>
  <si>
    <t>七悪</t>
  </si>
  <si>
    <t>視交睫</t>
  </si>
  <si>
    <t>四支彊直/四肢強直</t>
  </si>
  <si>
    <t>顖填</t>
  </si>
  <si>
    <t>心懸如飢／心懸如饑</t>
  </si>
  <si>
    <t>疹子</t>
  </si>
  <si>
    <t>宿酲</t>
  </si>
  <si>
    <t>焦啼</t>
  </si>
  <si>
    <t>七癥</t>
  </si>
  <si>
    <t>著噤</t>
  </si>
  <si>
    <t>心冲</t>
  </si>
  <si>
    <t>赤紅爛瞼</t>
  </si>
  <si>
    <t>脂瘤</t>
  </si>
  <si>
    <t>酒刺</t>
  </si>
  <si>
    <t>赤皰</t>
  </si>
  <si>
    <t>赤腫遊走通体</t>
  </si>
  <si>
    <t>赤紫丹瘤</t>
  </si>
  <si>
    <t>雀目</t>
  </si>
  <si>
    <t>宿紗翳</t>
  </si>
  <si>
    <t>四肢沈困/四支沈困</t>
  </si>
  <si>
    <t>小泡子</t>
  </si>
  <si>
    <t>小水短小</t>
  </si>
  <si>
    <t>酒渣鼻</t>
  </si>
  <si>
    <t>臭虫咬</t>
  </si>
  <si>
    <t>ゑ/え</t>
  </si>
  <si>
    <t>壊病</t>
  </si>
  <si>
    <t>翳障</t>
  </si>
  <si>
    <t>ひ</t>
  </si>
  <si>
    <t>百合</t>
  </si>
  <si>
    <t>鼻慝</t>
  </si>
  <si>
    <t>痞散成皷/痞散成鼓</t>
  </si>
  <si>
    <t>尾骨痛</t>
  </si>
  <si>
    <t>白腸</t>
  </si>
  <si>
    <t>皮膚痩削</t>
  </si>
  <si>
    <t>皮焦</t>
  </si>
  <si>
    <t>痞</t>
  </si>
  <si>
    <t>も</t>
  </si>
  <si>
    <t>木腎気</t>
  </si>
  <si>
    <t>目剳/目劄/目札</t>
  </si>
  <si>
    <t>目隠渋</t>
  </si>
  <si>
    <t>せ</t>
  </si>
  <si>
    <t>舌燥生胎</t>
  </si>
  <si>
    <t>掣痛</t>
  </si>
  <si>
    <t>顫掉</t>
  </si>
  <si>
    <t>戦慄</t>
  </si>
  <si>
    <t>譫言</t>
  </si>
  <si>
    <t>顫動</t>
  </si>
  <si>
    <t>す</t>
  </si>
  <si>
    <t>水汗染衣</t>
  </si>
  <si>
    <t>◎病名彙解</t>
    <phoneticPr fontId="6"/>
  </si>
  <si>
    <t>病名彙解序　貞享3（1 6 8 6）年</t>
    <phoneticPr fontId="6"/>
  </si>
  <si>
    <t>病名彙解</t>
    <phoneticPr fontId="6"/>
  </si>
  <si>
    <r>
      <t>膨</t>
    </r>
    <r>
      <rPr>
        <sz val="11"/>
        <color theme="1"/>
        <rFont val="游ゴシック"/>
        <family val="2"/>
        <charset val="128"/>
      </rPr>
      <t>脝</t>
    </r>
  </si>
  <si>
    <r>
      <rPr>
        <sz val="11"/>
        <color theme="1"/>
        <rFont val="游ゴシック"/>
        <family val="2"/>
        <charset val="128"/>
      </rPr>
      <t>蚛</t>
    </r>
    <r>
      <rPr>
        <sz val="11"/>
        <color theme="1"/>
        <rFont val="ＭＳ Ｐゴシック"/>
        <family val="3"/>
        <charset val="128"/>
      </rPr>
      <t>牙</t>
    </r>
  </si>
  <si>
    <t>脹満</t>
    <rPh sb="0" eb="1">
      <t>チョウ</t>
    </rPh>
    <phoneticPr fontId="6"/>
  </si>
  <si>
    <r>
      <rPr>
        <sz val="11"/>
        <color theme="1"/>
        <rFont val="游ゴシック"/>
        <family val="2"/>
        <charset val="128"/>
      </rPr>
      <t>踒</t>
    </r>
    <r>
      <rPr>
        <sz val="11"/>
        <color theme="1"/>
        <rFont val="ＭＳ Ｐゴシック"/>
        <family val="3"/>
        <charset val="128"/>
      </rPr>
      <t>折</t>
    </r>
  </si>
  <si>
    <r>
      <rPr>
        <sz val="11"/>
        <color theme="1"/>
        <rFont val="游ゴシック"/>
        <family val="2"/>
        <charset val="128"/>
      </rPr>
      <t>掁</t>
    </r>
    <r>
      <rPr>
        <sz val="11"/>
        <color theme="1"/>
        <rFont val="ＭＳ Ｐゴシック"/>
        <family val="3"/>
        <charset val="128"/>
      </rPr>
      <t>疽</t>
    </r>
  </si>
  <si>
    <r>
      <t>蝸瘡（</t>
    </r>
    <r>
      <rPr>
        <sz val="11"/>
        <color theme="1"/>
        <rFont val="游ゴシック"/>
        <family val="2"/>
        <charset val="128"/>
      </rPr>
      <t>瘑</t>
    </r>
    <r>
      <rPr>
        <sz val="11"/>
        <color theme="1"/>
        <rFont val="ＭＳ Ｐゴシック"/>
        <family val="3"/>
        <charset val="128"/>
      </rPr>
      <t>瘡同）</t>
    </r>
  </si>
  <si>
    <r>
      <rPr>
        <sz val="11"/>
        <color theme="1"/>
        <rFont val="游ゴシック"/>
        <family val="2"/>
        <charset val="128"/>
      </rPr>
      <t>脥</t>
    </r>
    <r>
      <rPr>
        <sz val="11"/>
        <color theme="1"/>
        <rFont val="ＭＳ Ｐゴシック"/>
        <family val="3"/>
        <charset val="128"/>
      </rPr>
      <t>隻</t>
    </r>
  </si>
  <si>
    <r>
      <t>風</t>
    </r>
    <r>
      <rPr>
        <sz val="11"/>
        <color theme="1"/>
        <rFont val="游ゴシック"/>
        <family val="2"/>
        <charset val="128"/>
      </rPr>
      <t>癔</t>
    </r>
  </si>
  <si>
    <r>
      <rPr>
        <sz val="11"/>
        <color theme="1"/>
        <rFont val="游ゴシック"/>
        <family val="2"/>
        <charset val="128"/>
      </rPr>
      <t>滚</t>
    </r>
    <r>
      <rPr>
        <sz val="11"/>
        <color theme="1"/>
        <rFont val="ＭＳ Ｐゴシック"/>
        <family val="3"/>
        <charset val="128"/>
      </rPr>
      <t>疳</t>
    </r>
  </si>
  <si>
    <r>
      <rPr>
        <sz val="11"/>
        <color theme="1"/>
        <rFont val="游ゴシック"/>
        <family val="2"/>
        <charset val="128"/>
      </rPr>
      <t>攧</t>
    </r>
    <r>
      <rPr>
        <sz val="11"/>
        <color theme="1"/>
        <rFont val="ＭＳ Ｐゴシック"/>
        <family val="3"/>
        <charset val="128"/>
      </rPr>
      <t>撲</t>
    </r>
  </si>
  <si>
    <r>
      <rPr>
        <sz val="11"/>
        <color theme="1"/>
        <rFont val="游ゴシック"/>
        <family val="2"/>
        <charset val="128"/>
      </rPr>
      <t>螲</t>
    </r>
    <r>
      <rPr>
        <sz val="11"/>
        <color theme="1"/>
        <rFont val="ＭＳ Ｐゴシック"/>
        <family val="3"/>
        <charset val="128"/>
      </rPr>
      <t>蟷瘻</t>
    </r>
  </si>
  <si>
    <r>
      <rPr>
        <sz val="11"/>
        <color theme="1"/>
        <rFont val="游ゴシック"/>
        <family val="2"/>
        <charset val="128"/>
      </rPr>
      <t>鱢</t>
    </r>
    <r>
      <rPr>
        <sz val="11"/>
        <color theme="1"/>
        <rFont val="ＭＳ Ｐゴシック"/>
        <family val="3"/>
        <charset val="128"/>
      </rPr>
      <t>嗽</t>
    </r>
  </si>
  <si>
    <r>
      <rPr>
        <sz val="11"/>
        <color theme="1"/>
        <rFont val="游ゴシック"/>
        <family val="2"/>
        <charset val="128"/>
      </rPr>
      <t>嗍</t>
    </r>
    <r>
      <rPr>
        <sz val="11"/>
        <color theme="1"/>
        <rFont val="ＭＳ Ｐゴシック"/>
        <family val="3"/>
        <charset val="128"/>
      </rPr>
      <t>骨馬𤷍（并：鎖脚馬𤷍）</t>
    </r>
  </si>
  <si>
    <r>
      <rPr>
        <sz val="11"/>
        <color theme="1"/>
        <rFont val="游ゴシック"/>
        <family val="2"/>
        <charset val="128"/>
      </rPr>
      <t>鬾</t>
    </r>
    <r>
      <rPr>
        <sz val="11"/>
        <color theme="1"/>
        <rFont val="ＭＳ Ｐゴシック"/>
        <family val="3"/>
        <charset val="128"/>
      </rPr>
      <t>病</t>
    </r>
  </si>
  <si>
    <r>
      <t>湿</t>
    </r>
    <r>
      <rPr>
        <sz val="11"/>
        <color theme="1"/>
        <rFont val="游ゴシック"/>
        <family val="2"/>
        <charset val="128"/>
      </rPr>
      <t>瘑</t>
    </r>
    <r>
      <rPr>
        <sz val="11"/>
        <color theme="1"/>
        <rFont val="ＭＳ Ｐゴシック"/>
        <family val="3"/>
        <charset val="128"/>
      </rPr>
      <t>瘡</t>
    </r>
  </si>
  <si>
    <r>
      <rPr>
        <sz val="11"/>
        <color theme="1"/>
        <rFont val="游ゴシック"/>
        <family val="2"/>
        <charset val="128"/>
      </rPr>
      <t>湤</t>
    </r>
    <r>
      <rPr>
        <sz val="11"/>
        <color theme="1"/>
        <rFont val="ＭＳ Ｐゴシック"/>
        <family val="3"/>
        <charset val="128"/>
      </rPr>
      <t>多</t>
    </r>
  </si>
  <si>
    <r>
      <rPr>
        <sz val="11"/>
        <color theme="1"/>
        <rFont val="游ゴシック"/>
        <family val="2"/>
        <charset val="128"/>
      </rPr>
      <t>躽</t>
    </r>
    <r>
      <rPr>
        <sz val="11"/>
        <color theme="1"/>
        <rFont val="ＭＳ Ｐゴシック"/>
        <family val="3"/>
        <charset val="128"/>
      </rPr>
      <t>啼</t>
    </r>
  </si>
  <si>
    <r>
      <rPr>
        <sz val="11"/>
        <color theme="1"/>
        <rFont val="游ゴシック"/>
        <family val="2"/>
        <charset val="128"/>
      </rPr>
      <t>蟮</t>
    </r>
    <r>
      <rPr>
        <sz val="11"/>
        <color theme="1"/>
        <rFont val="ＭＳ Ｐゴシック"/>
        <family val="3"/>
        <charset val="128"/>
      </rPr>
      <t>拱頭</t>
    </r>
  </si>
  <si>
    <r>
      <t>穿窟天蛇（并：穿辺天蛇、穿</t>
    </r>
    <r>
      <rPr>
        <sz val="11"/>
        <color theme="1"/>
        <rFont val="游ゴシック"/>
        <family val="2"/>
        <charset val="128"/>
      </rPr>
      <t>埂</t>
    </r>
    <r>
      <rPr>
        <sz val="11"/>
        <color theme="1"/>
        <rFont val="ＭＳ Ｐゴシック"/>
        <family val="3"/>
        <charset val="128"/>
      </rPr>
      <t>天蛇）</t>
    </r>
  </si>
  <si>
    <r>
      <t>穿</t>
    </r>
    <r>
      <rPr>
        <sz val="11"/>
        <color theme="1"/>
        <rFont val="游ゴシック"/>
        <family val="2"/>
        <charset val="128"/>
      </rPr>
      <t>踭</t>
    </r>
    <r>
      <rPr>
        <sz val="11"/>
        <color theme="1"/>
        <rFont val="ＭＳ Ｐゴシック"/>
        <family val="3"/>
        <charset val="128"/>
      </rPr>
      <t>風</t>
    </r>
  </si>
  <si>
    <t>○医学入門</t>
    <phoneticPr fontId="6"/>
  </si>
  <si>
    <t>李梴 撰</t>
    <rPh sb="0" eb="2">
      <t>リテン</t>
    </rPh>
    <rPh sb="3" eb="4">
      <t>セン</t>
    </rPh>
    <phoneticPr fontId="6"/>
  </si>
  <si>
    <t>○第09-01</t>
    <rPh sb="1" eb="2">
      <t>ダイ</t>
    </rPh>
    <phoneticPr fontId="6"/>
  </si>
  <si>
    <t>(編註)医学入門 首2巻・内外集7巻　木活字版</t>
    <rPh sb="19" eb="20">
      <t>モク</t>
    </rPh>
    <rPh sb="20" eb="22">
      <t>カツジ</t>
    </rPh>
    <rPh sb="22" eb="23">
      <t>バン</t>
    </rPh>
    <phoneticPr fontId="6"/>
  </si>
  <si>
    <t>朝鮮本</t>
    <rPh sb="0" eb="3">
      <t>チョウセンボン</t>
    </rPh>
    <phoneticPr fontId="6"/>
  </si>
  <si>
    <t>岡本一抱</t>
    <rPh sb="0" eb="4">
      <t>オカモトイッポウ</t>
    </rPh>
    <phoneticPr fontId="6"/>
  </si>
  <si>
    <t>富士川文庫資料</t>
    <rPh sb="0" eb="7">
      <t>フジカワブンコシリョウ</t>
    </rPh>
    <phoneticPr fontId="6"/>
  </si>
  <si>
    <t>(編註)医学入門 2巻</t>
  </si>
  <si>
    <t>医学入門諺解 3巻</t>
  </si>
  <si>
    <t>著者(明)李梃撰</t>
  </si>
  <si>
    <t>出版年　1709</t>
  </si>
  <si>
    <t>2冊</t>
  </si>
  <si>
    <t>岡本一抱(為竹)著</t>
  </si>
  <si>
    <t>写 朝鮮大</t>
  </si>
  <si>
    <t>3冊</t>
  </si>
  <si>
    <t>出版年（和暦）宝永6年</t>
  </si>
  <si>
    <t>医学入門</t>
  </si>
  <si>
    <t>首巻上</t>
    <rPh sb="0" eb="1">
      <t>クビ</t>
    </rPh>
    <rPh sb="1" eb="2">
      <t>マキ</t>
    </rPh>
    <rPh sb="2" eb="3">
      <t>ウエ</t>
    </rPh>
    <phoneticPr fontId="6"/>
  </si>
  <si>
    <t>医学入門引</t>
    <rPh sb="0" eb="4">
      <t>イガクニュウモン</t>
    </rPh>
    <rPh sb="4" eb="5">
      <t>ヒ</t>
    </rPh>
    <phoneticPr fontId="6"/>
  </si>
  <si>
    <t>集例</t>
  </si>
  <si>
    <t>先天図</t>
    <phoneticPr fontId="6"/>
  </si>
  <si>
    <t>天地人物気候相応説</t>
    <phoneticPr fontId="6"/>
  </si>
  <si>
    <t>天地人物気候相応図</t>
  </si>
  <si>
    <t>明堂仰伏臓腑図</t>
    <rPh sb="0" eb="2">
      <t>メイドウ</t>
    </rPh>
    <rPh sb="2" eb="3">
      <t>ギョウ</t>
    </rPh>
    <rPh sb="3" eb="4">
      <t>フク</t>
    </rPh>
    <rPh sb="4" eb="6">
      <t>ゾウフ</t>
    </rPh>
    <rPh sb="6" eb="7">
      <t>ズ</t>
    </rPh>
    <phoneticPr fontId="6"/>
  </si>
  <si>
    <t>用薬検方総目</t>
    <rPh sb="0" eb="1">
      <t>モチ</t>
    </rPh>
    <rPh sb="1" eb="2">
      <t>ヤク</t>
    </rPh>
    <rPh sb="2" eb="3">
      <t>ケン</t>
    </rPh>
    <rPh sb="3" eb="4">
      <t>カタ</t>
    </rPh>
    <rPh sb="4" eb="5">
      <t>ソウ</t>
    </rPh>
    <rPh sb="5" eb="6">
      <t>メ</t>
    </rPh>
    <phoneticPr fontId="6"/>
  </si>
  <si>
    <t>　　釈方</t>
    <phoneticPr fontId="6"/>
  </si>
  <si>
    <t>　　音字</t>
    <rPh sb="2" eb="3">
      <t>オト</t>
    </rPh>
    <rPh sb="3" eb="4">
      <t>ジ</t>
    </rPh>
    <phoneticPr fontId="6"/>
  </si>
  <si>
    <t>歴代医学姓氏</t>
  </si>
  <si>
    <t>原道統説（纂《紺珠経》）</t>
  </si>
  <si>
    <t>陰騭</t>
  </si>
  <si>
    <t>保養</t>
  </si>
  <si>
    <t>　天真節解</t>
    <rPh sb="1" eb="3">
      <t>テンシン</t>
    </rPh>
    <rPh sb="3" eb="4">
      <t>フシ</t>
    </rPh>
    <rPh sb="4" eb="5">
      <t>カイ</t>
    </rPh>
    <phoneticPr fontId="6"/>
  </si>
  <si>
    <t>　茹淡論</t>
    <rPh sb="1" eb="2">
      <t>ジョ</t>
    </rPh>
    <rPh sb="2" eb="3">
      <t>タン</t>
    </rPh>
    <rPh sb="3" eb="4">
      <t>ロン</t>
    </rPh>
    <phoneticPr fontId="6"/>
  </si>
  <si>
    <t>　陰火論</t>
    <rPh sb="1" eb="2">
      <t>イン</t>
    </rPh>
    <rPh sb="2" eb="3">
      <t>ヒ</t>
    </rPh>
    <rPh sb="3" eb="4">
      <t>ロン</t>
    </rPh>
    <phoneticPr fontId="6"/>
  </si>
  <si>
    <t>　保養説</t>
    <rPh sb="1" eb="2">
      <t>ホ</t>
    </rPh>
    <rPh sb="3" eb="4">
      <t>セツ</t>
    </rPh>
    <phoneticPr fontId="6"/>
  </si>
  <si>
    <t>　附 導引法</t>
    <rPh sb="1" eb="2">
      <t>フ</t>
    </rPh>
    <rPh sb="3" eb="5">
      <t>ドウイン</t>
    </rPh>
    <rPh sb="5" eb="6">
      <t>ホウ</t>
    </rPh>
    <phoneticPr fontId="6"/>
  </si>
  <si>
    <t>運気総論</t>
    <rPh sb="2" eb="4">
      <t>ソウロン</t>
    </rPh>
    <phoneticPr fontId="6"/>
  </si>
  <si>
    <t>一巻上</t>
    <rPh sb="0" eb="1">
      <t>1</t>
    </rPh>
    <rPh sb="1" eb="2">
      <t>マキ</t>
    </rPh>
    <rPh sb="2" eb="3">
      <t>ウエ</t>
    </rPh>
    <phoneticPr fontId="6"/>
  </si>
  <si>
    <t>経絡</t>
    <phoneticPr fontId="6"/>
  </si>
  <si>
    <t>　経穴起止</t>
    <phoneticPr fontId="6"/>
  </si>
  <si>
    <t>　手太陰肺経</t>
    <phoneticPr fontId="6"/>
  </si>
  <si>
    <t>　手陽明大腸経</t>
    <phoneticPr fontId="6"/>
  </si>
  <si>
    <t>　足陽明胃経</t>
    <phoneticPr fontId="6"/>
  </si>
  <si>
    <t>　足太陰脾経</t>
    <phoneticPr fontId="6"/>
  </si>
  <si>
    <t>　手少陰心経</t>
    <phoneticPr fontId="6"/>
  </si>
  <si>
    <t>　手太陽小腸経</t>
    <phoneticPr fontId="6"/>
  </si>
  <si>
    <t>　足太陽膀胱経</t>
    <rPh sb="4" eb="7">
      <t>ボウコウケイ</t>
    </rPh>
    <phoneticPr fontId="6"/>
  </si>
  <si>
    <t>　足少陰腎経</t>
    <phoneticPr fontId="6"/>
  </si>
  <si>
    <t>　手厥陰心胞絡経</t>
    <phoneticPr fontId="6"/>
  </si>
  <si>
    <t>　手少陽三焦経</t>
    <phoneticPr fontId="6"/>
  </si>
  <si>
    <t>　足少陽胆経</t>
    <phoneticPr fontId="6"/>
  </si>
  <si>
    <t>　足厥陰肝経</t>
    <phoneticPr fontId="6"/>
  </si>
  <si>
    <t>　督脈</t>
    <phoneticPr fontId="6"/>
  </si>
  <si>
    <t>　任脈</t>
    <phoneticPr fontId="6"/>
  </si>
  <si>
    <t>　十五絡脈</t>
    <phoneticPr fontId="6"/>
  </si>
  <si>
    <t>　奇経八脈</t>
    <phoneticPr fontId="6"/>
  </si>
  <si>
    <t>　奇経主病</t>
    <phoneticPr fontId="6"/>
  </si>
  <si>
    <t>臓腑</t>
  </si>
  <si>
    <t>　</t>
    <phoneticPr fontId="6"/>
  </si>
  <si>
    <t>　臓腑総論</t>
    <phoneticPr fontId="6"/>
  </si>
  <si>
    <t>　臓腑条分</t>
    <phoneticPr fontId="6"/>
  </si>
  <si>
    <t>観形察色問証</t>
  </si>
  <si>
    <t>　観形察色</t>
    <phoneticPr fontId="6"/>
  </si>
  <si>
    <t>　聴声審音</t>
    <phoneticPr fontId="6"/>
  </si>
  <si>
    <t>　問症</t>
    <rPh sb="2" eb="3">
      <t>ショウ</t>
    </rPh>
    <phoneticPr fontId="6"/>
  </si>
  <si>
    <t>一巻下</t>
    <rPh sb="0" eb="1">
      <t>1</t>
    </rPh>
    <rPh sb="1" eb="2">
      <t>マキ</t>
    </rPh>
    <rPh sb="2" eb="3">
      <t>シタ</t>
    </rPh>
    <phoneticPr fontId="6"/>
  </si>
  <si>
    <t>　王叔和観病生死候歌</t>
    <phoneticPr fontId="6"/>
  </si>
  <si>
    <t>診脈（※脈訣）</t>
    <rPh sb="4" eb="5">
      <t>ミャク</t>
    </rPh>
    <rPh sb="5" eb="6">
      <t>ケツ</t>
    </rPh>
    <phoneticPr fontId="6"/>
  </si>
  <si>
    <t>　寸関尺定位</t>
    <phoneticPr fontId="6"/>
  </si>
  <si>
    <t>　臓腑定位</t>
    <phoneticPr fontId="6"/>
  </si>
  <si>
    <t>　七表八裏九道脈名</t>
    <rPh sb="4" eb="5">
      <t>ウラ</t>
    </rPh>
    <phoneticPr fontId="6"/>
  </si>
  <si>
    <t>　諸脈体状</t>
    <phoneticPr fontId="6"/>
  </si>
  <si>
    <t>　諸脈相類</t>
    <phoneticPr fontId="6"/>
  </si>
  <si>
    <t>　諸脈主病</t>
    <phoneticPr fontId="6"/>
  </si>
  <si>
    <t>　諸脈相兼主病</t>
    <phoneticPr fontId="6"/>
  </si>
  <si>
    <t>　臓腑六脈診法</t>
    <phoneticPr fontId="6"/>
  </si>
  <si>
    <t>　気口人迎脈訣</t>
    <phoneticPr fontId="6"/>
  </si>
  <si>
    <t>　総看三部脈法</t>
    <phoneticPr fontId="6"/>
  </si>
  <si>
    <t>　傷寒脈法</t>
    <phoneticPr fontId="6"/>
  </si>
  <si>
    <t>　雑病脈法</t>
    <phoneticPr fontId="6"/>
  </si>
  <si>
    <t>　婦人脈法</t>
    <phoneticPr fontId="6"/>
  </si>
  <si>
    <t>　成童脈法</t>
    <phoneticPr fontId="6"/>
  </si>
  <si>
    <t>　癰疽脈法</t>
    <phoneticPr fontId="6"/>
  </si>
  <si>
    <t>　死脈総訣</t>
    <phoneticPr fontId="6"/>
  </si>
  <si>
    <t>　形色脈相応総訣</t>
    <phoneticPr fontId="6"/>
  </si>
  <si>
    <t>鍼灸</t>
  </si>
  <si>
    <t>　子午八法</t>
    <phoneticPr fontId="6"/>
  </si>
  <si>
    <t>　附　雑病穴法</t>
    <phoneticPr fontId="6"/>
  </si>
  <si>
    <t>　禁針穴</t>
    <phoneticPr fontId="6"/>
  </si>
  <si>
    <t>　造針法</t>
    <phoneticPr fontId="6"/>
  </si>
  <si>
    <t>　煮針法</t>
    <phoneticPr fontId="6"/>
  </si>
  <si>
    <t>灸法</t>
  </si>
  <si>
    <t>　治病要穴</t>
    <phoneticPr fontId="6"/>
  </si>
  <si>
    <t>　治病奇穴</t>
    <phoneticPr fontId="6"/>
  </si>
  <si>
    <t>　禁灸穴</t>
    <phoneticPr fontId="6"/>
  </si>
  <si>
    <t>煉臍法</t>
    <phoneticPr fontId="6"/>
  </si>
  <si>
    <t>　彭祖固陽固蒂長生延寿丹</t>
    <phoneticPr fontId="6"/>
  </si>
  <si>
    <t>　接命丹</t>
    <phoneticPr fontId="6"/>
  </si>
  <si>
    <t>　温臍種子方</t>
    <phoneticPr fontId="6"/>
  </si>
  <si>
    <t>　温臍兜肚方</t>
    <phoneticPr fontId="6"/>
  </si>
  <si>
    <t>鍼灸禁忌</t>
  </si>
  <si>
    <t>　鍼灸服薬吉日</t>
    <phoneticPr fontId="6"/>
  </si>
  <si>
    <t>　九宮尻神禁忌</t>
    <phoneticPr fontId="6"/>
  </si>
  <si>
    <t>　九部人神禁忌</t>
    <phoneticPr fontId="6"/>
  </si>
  <si>
    <t>　十二部人神禁忌</t>
    <phoneticPr fontId="6"/>
  </si>
  <si>
    <t>　四季人神禁忌</t>
    <phoneticPr fontId="6"/>
  </si>
  <si>
    <t>　逐月血忌</t>
    <phoneticPr fontId="6"/>
  </si>
  <si>
    <t>　逐月血支</t>
    <phoneticPr fontId="6"/>
  </si>
  <si>
    <t>　十二支人神所在禁忌</t>
    <phoneticPr fontId="6"/>
  </si>
  <si>
    <t>　逐日人神所在禁忌</t>
    <phoneticPr fontId="6"/>
  </si>
  <si>
    <t>二巻</t>
    <rPh sb="0" eb="1">
      <t>2</t>
    </rPh>
    <rPh sb="1" eb="2">
      <t>マキ</t>
    </rPh>
    <phoneticPr fontId="6"/>
  </si>
  <si>
    <t>本草引</t>
  </si>
  <si>
    <t>本草総括</t>
  </si>
  <si>
    <t>　　本草分類</t>
    <phoneticPr fontId="6"/>
  </si>
  <si>
    <t>治風門</t>
  </si>
  <si>
    <t>治熱門</t>
  </si>
  <si>
    <t>治湿門</t>
  </si>
  <si>
    <t>治燥門</t>
  </si>
  <si>
    <t>治寒門</t>
  </si>
  <si>
    <t>又二巻</t>
    <rPh sb="0" eb="1">
      <t>マタ</t>
    </rPh>
    <rPh sb="1" eb="2">
      <t>2</t>
    </rPh>
    <rPh sb="2" eb="3">
      <t>マキ</t>
    </rPh>
    <phoneticPr fontId="6"/>
  </si>
  <si>
    <t>治瘡門</t>
  </si>
  <si>
    <t>食治門</t>
  </si>
  <si>
    <t>附　食治方</t>
    <rPh sb="0" eb="1">
      <t>フ</t>
    </rPh>
    <rPh sb="4" eb="5">
      <t>ホウ</t>
    </rPh>
    <phoneticPr fontId="6"/>
  </si>
  <si>
    <t>風</t>
  </si>
  <si>
    <t>寒</t>
  </si>
  <si>
    <t>暑</t>
  </si>
  <si>
    <t>湿</t>
  </si>
  <si>
    <t>燥</t>
  </si>
  <si>
    <t>火</t>
  </si>
  <si>
    <t>内傷脾胃</t>
    <rPh sb="0" eb="2">
      <t>ナイショウ</t>
    </rPh>
    <phoneticPr fontId="6"/>
  </si>
  <si>
    <t>気（鬱同）</t>
    <rPh sb="2" eb="3">
      <t>ウツ</t>
    </rPh>
    <rPh sb="3" eb="4">
      <t>オナ</t>
    </rPh>
    <phoneticPr fontId="6"/>
  </si>
  <si>
    <t>血</t>
  </si>
  <si>
    <t>痰</t>
  </si>
  <si>
    <t>熱</t>
    <phoneticPr fontId="6"/>
  </si>
  <si>
    <t>陰虚</t>
    <rPh sb="0" eb="1">
      <t>イン</t>
    </rPh>
    <phoneticPr fontId="6"/>
  </si>
  <si>
    <t>陽虚</t>
    <rPh sb="0" eb="1">
      <t>ヨウ</t>
    </rPh>
    <rPh sb="1" eb="2">
      <t>キョ</t>
    </rPh>
    <phoneticPr fontId="6"/>
  </si>
  <si>
    <t>諸虚</t>
    <rPh sb="0" eb="1">
      <t>ショ</t>
    </rPh>
    <rPh sb="1" eb="2">
      <t>キョ</t>
    </rPh>
    <phoneticPr fontId="6"/>
  </si>
  <si>
    <t>三巻上</t>
    <rPh sb="0" eb="1">
      <t>3</t>
    </rPh>
    <rPh sb="1" eb="2">
      <t>マキ</t>
    </rPh>
    <rPh sb="2" eb="3">
      <t>ウエ</t>
    </rPh>
    <phoneticPr fontId="6"/>
  </si>
  <si>
    <t>傷寒序</t>
  </si>
  <si>
    <t>病機　外感</t>
    <rPh sb="0" eb="1">
      <t>ビ</t>
    </rPh>
    <rPh sb="1" eb="2">
      <t>キ</t>
    </rPh>
    <rPh sb="3" eb="4">
      <t>ソト</t>
    </rPh>
    <phoneticPr fontId="6"/>
  </si>
  <si>
    <t>温暑</t>
  </si>
  <si>
    <t>　五運主病枢要目</t>
    <phoneticPr fontId="6"/>
  </si>
  <si>
    <t>　一十八剤</t>
    <phoneticPr fontId="6"/>
  </si>
  <si>
    <t>　六経正病</t>
    <phoneticPr fontId="6"/>
  </si>
  <si>
    <t>　表裏陰陽汗吐下温解五法</t>
    <rPh sb="1" eb="3">
      <t>ヒョウリ</t>
    </rPh>
    <rPh sb="3" eb="5">
      <t>インヨウ</t>
    </rPh>
    <rPh sb="5" eb="6">
      <t>アセ</t>
    </rPh>
    <rPh sb="6" eb="7">
      <t>ハ</t>
    </rPh>
    <rPh sb="7" eb="8">
      <t>シタ</t>
    </rPh>
    <rPh sb="8" eb="9">
      <t>オン</t>
    </rPh>
    <rPh sb="9" eb="10">
      <t>カイ</t>
    </rPh>
    <rPh sb="10" eb="11">
      <t>ゴ</t>
    </rPh>
    <rPh sb="11" eb="12">
      <t>ホウ</t>
    </rPh>
    <phoneticPr fontId="6"/>
  </si>
  <si>
    <t>　正傷寒</t>
    <rPh sb="1" eb="2">
      <t>タダ</t>
    </rPh>
    <rPh sb="2" eb="4">
      <t>ショウカン</t>
    </rPh>
    <phoneticPr fontId="6"/>
  </si>
  <si>
    <t>　類傷寒</t>
    <rPh sb="1" eb="2">
      <t>ルイ</t>
    </rPh>
    <rPh sb="2" eb="4">
      <t>ショウカン</t>
    </rPh>
    <phoneticPr fontId="6"/>
  </si>
  <si>
    <t>　傷寒初症</t>
    <rPh sb="1" eb="3">
      <t>ショウカン</t>
    </rPh>
    <rPh sb="3" eb="4">
      <t>ショ</t>
    </rPh>
    <rPh sb="4" eb="5">
      <t>ショウ</t>
    </rPh>
    <phoneticPr fontId="6"/>
  </si>
  <si>
    <t>　傷寒雑症</t>
    <rPh sb="1" eb="3">
      <t>ショウカン</t>
    </rPh>
    <rPh sb="3" eb="4">
      <t>ザツ</t>
    </rPh>
    <rPh sb="4" eb="5">
      <t>ショウ</t>
    </rPh>
    <phoneticPr fontId="6"/>
  </si>
  <si>
    <t>　変病変法</t>
    <rPh sb="1" eb="2">
      <t>ヘン</t>
    </rPh>
    <rPh sb="2" eb="4">
      <t>ビョウヘン</t>
    </rPh>
    <rPh sb="4" eb="5">
      <t>ホウ</t>
    </rPh>
    <phoneticPr fontId="6"/>
  </si>
  <si>
    <t>三巻下</t>
    <rPh sb="0" eb="1">
      <t>3</t>
    </rPh>
    <rPh sb="1" eb="2">
      <t>マキ</t>
    </rPh>
    <rPh sb="2" eb="3">
      <t>シタ</t>
    </rPh>
    <phoneticPr fontId="6"/>
  </si>
  <si>
    <t>傷寒用薬賦</t>
  </si>
  <si>
    <t>汗吐下滲和解温補総方</t>
  </si>
  <si>
    <t>　陽症</t>
    <rPh sb="1" eb="2">
      <t>ヨウ</t>
    </rPh>
    <rPh sb="2" eb="3">
      <t>ショウ</t>
    </rPh>
    <phoneticPr fontId="6"/>
  </si>
  <si>
    <t>　陰症</t>
    <rPh sb="1" eb="2">
      <t>イン</t>
    </rPh>
    <rPh sb="2" eb="3">
      <t>ショウ</t>
    </rPh>
    <phoneticPr fontId="6"/>
  </si>
  <si>
    <t>内傷（飢飽労役飲食積聚）</t>
  </si>
  <si>
    <t>内外傷弁</t>
  </si>
  <si>
    <t>内傷弁（新纂）</t>
  </si>
  <si>
    <t>脾胃虚実伝変論</t>
  </si>
  <si>
    <t>内傷飢飽労倦総方</t>
    <phoneticPr fontId="6"/>
  </si>
  <si>
    <t>丹渓朱先生雑病纂要</t>
  </si>
  <si>
    <t>　風</t>
    <phoneticPr fontId="6"/>
  </si>
  <si>
    <t>　寒</t>
    <phoneticPr fontId="6"/>
  </si>
  <si>
    <t>　暑</t>
    <phoneticPr fontId="6"/>
  </si>
  <si>
    <t>　湿</t>
    <phoneticPr fontId="6"/>
  </si>
  <si>
    <t>　燥</t>
    <phoneticPr fontId="6"/>
  </si>
  <si>
    <t>　火</t>
    <phoneticPr fontId="6"/>
  </si>
  <si>
    <t>内傷</t>
    <rPh sb="0" eb="2">
      <t>ナイショウ</t>
    </rPh>
    <phoneticPr fontId="6"/>
  </si>
  <si>
    <t>　調理脾胃</t>
    <phoneticPr fontId="6"/>
  </si>
  <si>
    <t>　気</t>
    <phoneticPr fontId="6"/>
  </si>
  <si>
    <t>　血</t>
    <phoneticPr fontId="6"/>
  </si>
  <si>
    <t>　痰</t>
    <phoneticPr fontId="6"/>
  </si>
  <si>
    <t>　鬱</t>
    <rPh sb="1" eb="2">
      <t>ウツ</t>
    </rPh>
    <phoneticPr fontId="6"/>
  </si>
  <si>
    <t>　積熱</t>
    <phoneticPr fontId="6"/>
  </si>
  <si>
    <t>　諸虚</t>
    <phoneticPr fontId="6"/>
  </si>
  <si>
    <t>　沈寒痼冷</t>
    <rPh sb="2" eb="3">
      <t>サム</t>
    </rPh>
    <rPh sb="4" eb="5">
      <t>ツメ</t>
    </rPh>
    <phoneticPr fontId="6"/>
  </si>
  <si>
    <t>雑病分類</t>
    <rPh sb="0" eb="2">
      <t>ザツビョウ</t>
    </rPh>
    <rPh sb="2" eb="4">
      <t>ブンルイ</t>
    </rPh>
    <phoneticPr fontId="6"/>
  </si>
  <si>
    <t>外感　風類</t>
    <rPh sb="0" eb="2">
      <t>ガイカン</t>
    </rPh>
    <rPh sb="3" eb="4">
      <t>フウ</t>
    </rPh>
    <rPh sb="4" eb="5">
      <t>タグイ</t>
    </rPh>
    <phoneticPr fontId="6"/>
  </si>
  <si>
    <t>　頭眩</t>
    <phoneticPr fontId="6"/>
  </si>
  <si>
    <t>　頭痛</t>
    <rPh sb="1" eb="3">
      <t>ズツウ</t>
    </rPh>
    <phoneticPr fontId="6"/>
  </si>
  <si>
    <t>　頭風</t>
    <rPh sb="1" eb="2">
      <t>アタマ</t>
    </rPh>
    <rPh sb="2" eb="3">
      <t>フウ</t>
    </rPh>
    <phoneticPr fontId="6"/>
  </si>
  <si>
    <t>　面風</t>
    <rPh sb="1" eb="2">
      <t>メン</t>
    </rPh>
    <rPh sb="2" eb="3">
      <t>カゼ</t>
    </rPh>
    <phoneticPr fontId="6"/>
  </si>
  <si>
    <t>　眼</t>
    <rPh sb="1" eb="2">
      <t>メ</t>
    </rPh>
    <phoneticPr fontId="6"/>
  </si>
  <si>
    <t>　耳</t>
    <rPh sb="1" eb="2">
      <t>ミミ</t>
    </rPh>
    <phoneticPr fontId="6"/>
  </si>
  <si>
    <t>　鼻</t>
    <rPh sb="1" eb="2">
      <t>ハナ</t>
    </rPh>
    <phoneticPr fontId="6"/>
  </si>
  <si>
    <t>　口舌唇</t>
    <rPh sb="1" eb="2">
      <t>クチ</t>
    </rPh>
    <rPh sb="2" eb="3">
      <t>シタ</t>
    </rPh>
    <rPh sb="3" eb="4">
      <t>クチビル</t>
    </rPh>
    <phoneticPr fontId="6"/>
  </si>
  <si>
    <t>　牙歯</t>
    <rPh sb="1" eb="2">
      <t>キバ</t>
    </rPh>
    <rPh sb="2" eb="3">
      <t>ハ</t>
    </rPh>
    <phoneticPr fontId="6"/>
  </si>
  <si>
    <t>　痛風</t>
    <rPh sb="1" eb="3">
      <t>ツウフウ</t>
    </rPh>
    <phoneticPr fontId="6"/>
  </si>
  <si>
    <t>　痺風</t>
    <rPh sb="1" eb="2">
      <t>ヒ</t>
    </rPh>
    <rPh sb="2" eb="3">
      <t>カゼ</t>
    </rPh>
    <phoneticPr fontId="6"/>
  </si>
  <si>
    <t>　斑疹</t>
    <rPh sb="1" eb="2">
      <t>ハン</t>
    </rPh>
    <rPh sb="2" eb="3">
      <t>シン</t>
    </rPh>
    <phoneticPr fontId="6"/>
  </si>
  <si>
    <t>寒類</t>
    <rPh sb="0" eb="1">
      <t>サム</t>
    </rPh>
    <rPh sb="1" eb="2">
      <t>ルイ</t>
    </rPh>
    <phoneticPr fontId="6"/>
  </si>
  <si>
    <t>　咳嗽</t>
    <rPh sb="1" eb="3">
      <t>ガイソウ</t>
    </rPh>
    <phoneticPr fontId="6"/>
  </si>
  <si>
    <t>　霍乱</t>
    <rPh sb="1" eb="3">
      <t>カクラン</t>
    </rPh>
    <phoneticPr fontId="6"/>
  </si>
  <si>
    <t>　心痛</t>
    <rPh sb="1" eb="3">
      <t>シンツウ</t>
    </rPh>
    <phoneticPr fontId="6"/>
  </si>
  <si>
    <t>　腹痛</t>
    <rPh sb="1" eb="3">
      <t>フクツウ</t>
    </rPh>
    <phoneticPr fontId="6"/>
  </si>
  <si>
    <t>暑類</t>
    <rPh sb="0" eb="1">
      <t>ショ</t>
    </rPh>
    <rPh sb="1" eb="2">
      <t>ルイ</t>
    </rPh>
    <phoneticPr fontId="6"/>
  </si>
  <si>
    <t>　瘧</t>
    <rPh sb="1" eb="2">
      <t>ギャク</t>
    </rPh>
    <phoneticPr fontId="6"/>
  </si>
  <si>
    <t>　痢</t>
    <rPh sb="1" eb="2">
      <t>リ</t>
    </rPh>
    <phoneticPr fontId="6"/>
  </si>
  <si>
    <t>湿類</t>
    <rPh sb="0" eb="1">
      <t>シツ</t>
    </rPh>
    <rPh sb="1" eb="2">
      <t>ルイ</t>
    </rPh>
    <phoneticPr fontId="6"/>
  </si>
  <si>
    <t>　痞満</t>
    <rPh sb="1" eb="3">
      <t>ヒマン</t>
    </rPh>
    <phoneticPr fontId="6"/>
  </si>
  <si>
    <t>　泄瀉</t>
    <rPh sb="1" eb="3">
      <t>セッシャ</t>
    </rPh>
    <phoneticPr fontId="6"/>
  </si>
  <si>
    <t>　呑酸</t>
    <rPh sb="1" eb="3">
      <t>ドンサン</t>
    </rPh>
    <phoneticPr fontId="6"/>
  </si>
  <si>
    <t>　黄疸</t>
    <rPh sb="1" eb="3">
      <t>オウダン</t>
    </rPh>
    <phoneticPr fontId="6"/>
  </si>
  <si>
    <t>　水腫</t>
    <rPh sb="1" eb="3">
      <t>スイシュ</t>
    </rPh>
    <phoneticPr fontId="6"/>
  </si>
  <si>
    <t>　鼓脹</t>
    <rPh sb="1" eb="3">
      <t>コチョウ</t>
    </rPh>
    <phoneticPr fontId="6"/>
  </si>
  <si>
    <t>　赤白濁</t>
    <rPh sb="1" eb="3">
      <t>アカシロ</t>
    </rPh>
    <rPh sb="3" eb="4">
      <t>ダク</t>
    </rPh>
    <phoneticPr fontId="6"/>
  </si>
  <si>
    <t>四巻下</t>
    <rPh sb="0" eb="1">
      <t>4</t>
    </rPh>
    <rPh sb="1" eb="2">
      <t>マキ</t>
    </rPh>
    <rPh sb="2" eb="3">
      <t>シタ</t>
    </rPh>
    <phoneticPr fontId="6"/>
  </si>
  <si>
    <t>　腰痛</t>
    <rPh sb="1" eb="3">
      <t>ヨウツウ</t>
    </rPh>
    <phoneticPr fontId="6"/>
  </si>
  <si>
    <t>　疝気</t>
    <rPh sb="1" eb="3">
      <t>センキ</t>
    </rPh>
    <phoneticPr fontId="6"/>
  </si>
  <si>
    <t>　脚気</t>
    <rPh sb="1" eb="3">
      <t>カッケ</t>
    </rPh>
    <phoneticPr fontId="6"/>
  </si>
  <si>
    <t>燥類</t>
    <rPh sb="0" eb="1">
      <t>ソウ</t>
    </rPh>
    <rPh sb="1" eb="2">
      <t>ルイ</t>
    </rPh>
    <phoneticPr fontId="6"/>
  </si>
  <si>
    <t>　消渇</t>
    <rPh sb="1" eb="3">
      <t>ショウカツ</t>
    </rPh>
    <phoneticPr fontId="6"/>
  </si>
  <si>
    <t>　燥結</t>
    <rPh sb="1" eb="2">
      <t>ソウ</t>
    </rPh>
    <rPh sb="2" eb="3">
      <t>ケツ</t>
    </rPh>
    <phoneticPr fontId="6"/>
  </si>
  <si>
    <t>火類</t>
    <rPh sb="0" eb="1">
      <t>ヒ</t>
    </rPh>
    <rPh sb="1" eb="2">
      <t>ルイ</t>
    </rPh>
    <phoneticPr fontId="6"/>
  </si>
  <si>
    <t>　脇痛</t>
    <rPh sb="1" eb="2">
      <t>ワキ</t>
    </rPh>
    <rPh sb="2" eb="3">
      <t>ツウ</t>
    </rPh>
    <phoneticPr fontId="6"/>
  </si>
  <si>
    <t>　夢遺</t>
    <rPh sb="1" eb="2">
      <t>ユメ</t>
    </rPh>
    <rPh sb="2" eb="3">
      <t>イ</t>
    </rPh>
    <phoneticPr fontId="6"/>
  </si>
  <si>
    <t>　淋</t>
    <rPh sb="1" eb="2">
      <t>リン</t>
    </rPh>
    <phoneticPr fontId="6"/>
  </si>
  <si>
    <t>　小便不通</t>
    <rPh sb="1" eb="3">
      <t>ショウベン</t>
    </rPh>
    <rPh sb="3" eb="5">
      <t>フツウ</t>
    </rPh>
    <phoneticPr fontId="6"/>
  </si>
  <si>
    <t>　小便不禁</t>
    <rPh sb="1" eb="3">
      <t>ショウベン</t>
    </rPh>
    <rPh sb="3" eb="4">
      <t>フ</t>
    </rPh>
    <rPh sb="4" eb="5">
      <t>キン</t>
    </rPh>
    <phoneticPr fontId="6"/>
  </si>
  <si>
    <t>　脱肛</t>
    <rPh sb="1" eb="3">
      <t>ダッコウ</t>
    </rPh>
    <phoneticPr fontId="6"/>
  </si>
  <si>
    <t>内傷類</t>
    <rPh sb="0" eb="2">
      <t>ウチキズ</t>
    </rPh>
    <rPh sb="2" eb="3">
      <t>ルイ</t>
    </rPh>
    <phoneticPr fontId="6"/>
  </si>
  <si>
    <t>　傷食</t>
    <rPh sb="1" eb="2">
      <t>キズ</t>
    </rPh>
    <rPh sb="2" eb="3">
      <t>ショク</t>
    </rPh>
    <phoneticPr fontId="6"/>
  </si>
  <si>
    <t>　積聚</t>
    <rPh sb="1" eb="3">
      <t>シャクジュウ</t>
    </rPh>
    <phoneticPr fontId="6"/>
  </si>
  <si>
    <t>　蠱瘴</t>
    <rPh sb="2" eb="3">
      <t>ショウ</t>
    </rPh>
    <phoneticPr fontId="6"/>
  </si>
  <si>
    <t>気類</t>
    <rPh sb="0" eb="1">
      <t>キ</t>
    </rPh>
    <rPh sb="1" eb="2">
      <t>ルイ</t>
    </rPh>
    <phoneticPr fontId="6"/>
  </si>
  <si>
    <t>　気滞</t>
    <rPh sb="1" eb="3">
      <t>キタイ</t>
    </rPh>
    <phoneticPr fontId="6"/>
  </si>
  <si>
    <t>血類</t>
    <rPh sb="0" eb="1">
      <t>チ</t>
    </rPh>
    <rPh sb="1" eb="2">
      <t>ルイ</t>
    </rPh>
    <phoneticPr fontId="6"/>
  </si>
  <si>
    <t>　吐血</t>
    <rPh sb="1" eb="3">
      <t>トケツ</t>
    </rPh>
    <phoneticPr fontId="6"/>
  </si>
  <si>
    <t>　嘔血</t>
    <rPh sb="1" eb="2">
      <t>ハ</t>
    </rPh>
    <rPh sb="2" eb="3">
      <t>ケツ</t>
    </rPh>
    <phoneticPr fontId="6"/>
  </si>
  <si>
    <t>　衄血</t>
    <rPh sb="1" eb="3">
      <t>ジクケツ</t>
    </rPh>
    <phoneticPr fontId="6"/>
  </si>
  <si>
    <t>　嗽唾咯</t>
    <rPh sb="1" eb="2">
      <t>ウガイ</t>
    </rPh>
    <rPh sb="2" eb="3">
      <t>ツバ</t>
    </rPh>
    <rPh sb="3" eb="4">
      <t>ハ</t>
    </rPh>
    <phoneticPr fontId="6"/>
  </si>
  <si>
    <t>　溺血</t>
    <phoneticPr fontId="6"/>
  </si>
  <si>
    <t>　便血</t>
    <phoneticPr fontId="6"/>
  </si>
  <si>
    <t>痰類</t>
    <rPh sb="0" eb="1">
      <t>タン</t>
    </rPh>
    <rPh sb="1" eb="2">
      <t>ルイ</t>
    </rPh>
    <phoneticPr fontId="6"/>
  </si>
  <si>
    <t>　喘</t>
    <phoneticPr fontId="6"/>
  </si>
  <si>
    <t>　哮</t>
    <rPh sb="1" eb="2">
      <t>コウ</t>
    </rPh>
    <phoneticPr fontId="6"/>
  </si>
  <si>
    <t>　悪心</t>
    <rPh sb="1" eb="3">
      <t>オシン</t>
    </rPh>
    <phoneticPr fontId="6"/>
  </si>
  <si>
    <t>　嘈囃</t>
    <phoneticPr fontId="6"/>
  </si>
  <si>
    <t>　噯気</t>
    <rPh sb="1" eb="3">
      <t>アイキ</t>
    </rPh>
    <phoneticPr fontId="6"/>
  </si>
  <si>
    <t>　嘔吐</t>
    <rPh sb="1" eb="3">
      <t>オウト</t>
    </rPh>
    <phoneticPr fontId="6"/>
  </si>
  <si>
    <t>　呃逆</t>
    <phoneticPr fontId="6"/>
  </si>
  <si>
    <t>　膈噎</t>
    <phoneticPr fontId="6"/>
  </si>
  <si>
    <t>　関格</t>
    <phoneticPr fontId="6"/>
  </si>
  <si>
    <t>　痓</t>
    <rPh sb="1" eb="2">
      <t>シ</t>
    </rPh>
    <phoneticPr fontId="6"/>
  </si>
  <si>
    <t>　癇</t>
    <rPh sb="1" eb="2">
      <t>カン</t>
    </rPh>
    <phoneticPr fontId="6"/>
  </si>
  <si>
    <t>　癲狂</t>
    <rPh sb="1" eb="3">
      <t>テンキョウ</t>
    </rPh>
    <phoneticPr fontId="6"/>
  </si>
  <si>
    <t>　驚悸、怔忡、健忘</t>
    <phoneticPr fontId="6"/>
  </si>
  <si>
    <t>　咽喉</t>
    <rPh sb="1" eb="3">
      <t>インコウ</t>
    </rPh>
    <phoneticPr fontId="6"/>
  </si>
  <si>
    <t>　附　失音骨鯁</t>
    <rPh sb="3" eb="5">
      <t>シツオン</t>
    </rPh>
    <rPh sb="5" eb="6">
      <t>ホネ</t>
    </rPh>
    <phoneticPr fontId="6"/>
  </si>
  <si>
    <t>虚類</t>
    <rPh sb="0" eb="1">
      <t>キョ</t>
    </rPh>
    <rPh sb="1" eb="2">
      <t>ルイ</t>
    </rPh>
    <phoneticPr fontId="6"/>
  </si>
  <si>
    <t>　発熱</t>
    <rPh sb="1" eb="3">
      <t>ハツネツ</t>
    </rPh>
    <phoneticPr fontId="6"/>
  </si>
  <si>
    <t>　附悪寒</t>
    <rPh sb="2" eb="4">
      <t>オカン</t>
    </rPh>
    <phoneticPr fontId="6"/>
  </si>
  <si>
    <t>　汗</t>
    <rPh sb="1" eb="2">
      <t>アセ</t>
    </rPh>
    <phoneticPr fontId="6"/>
  </si>
  <si>
    <t>　痿</t>
    <rPh sb="1" eb="2">
      <t>ナエル</t>
    </rPh>
    <phoneticPr fontId="6"/>
  </si>
  <si>
    <t>　厥</t>
    <rPh sb="1" eb="2">
      <t>ケツ</t>
    </rPh>
    <phoneticPr fontId="6"/>
  </si>
  <si>
    <t>　癆瘵</t>
    <rPh sb="1" eb="3">
      <t>ロウサイ</t>
    </rPh>
    <phoneticPr fontId="6"/>
  </si>
  <si>
    <t>　諸虫</t>
    <rPh sb="1" eb="2">
      <t>ショ</t>
    </rPh>
    <rPh sb="2" eb="3">
      <t>ムシ</t>
    </rPh>
    <phoneticPr fontId="6"/>
  </si>
  <si>
    <t>　求嗣</t>
    <rPh sb="1" eb="2">
      <t>モトム</t>
    </rPh>
    <rPh sb="2" eb="3">
      <t>ツグシ</t>
    </rPh>
    <phoneticPr fontId="6"/>
  </si>
  <si>
    <t>　養老　附鬚髪</t>
    <rPh sb="1" eb="3">
      <t>ヨウロウ</t>
    </rPh>
    <rPh sb="4" eb="5">
      <t>フ</t>
    </rPh>
    <phoneticPr fontId="6"/>
  </si>
  <si>
    <t>五巻上</t>
    <rPh sb="0" eb="1">
      <t>5</t>
    </rPh>
    <rPh sb="1" eb="2">
      <t>マキ</t>
    </rPh>
    <rPh sb="2" eb="3">
      <t>ウエ</t>
    </rPh>
    <phoneticPr fontId="6"/>
  </si>
  <si>
    <t>婦人門</t>
    <rPh sb="0" eb="2">
      <t>フジン</t>
    </rPh>
    <rPh sb="2" eb="3">
      <t>モン</t>
    </rPh>
    <phoneticPr fontId="6"/>
  </si>
  <si>
    <t>　経候</t>
    <phoneticPr fontId="6"/>
  </si>
  <si>
    <t>　崩漏</t>
    <phoneticPr fontId="6"/>
  </si>
  <si>
    <t>　帯下</t>
    <phoneticPr fontId="6"/>
  </si>
  <si>
    <t>　癥瘕（与男子積聚条参看）</t>
    <rPh sb="1" eb="2">
      <t>チョウ</t>
    </rPh>
    <rPh sb="2" eb="3">
      <t>キズ</t>
    </rPh>
    <phoneticPr fontId="6"/>
  </si>
  <si>
    <t>　胎前</t>
    <phoneticPr fontId="6"/>
  </si>
  <si>
    <t>　臨産</t>
    <phoneticPr fontId="6"/>
  </si>
  <si>
    <t>　産後</t>
    <phoneticPr fontId="6"/>
  </si>
  <si>
    <t>小児門</t>
    <rPh sb="0" eb="2">
      <t>ショウニ</t>
    </rPh>
    <rPh sb="2" eb="3">
      <t>モン</t>
    </rPh>
    <phoneticPr fontId="6"/>
  </si>
  <si>
    <t>　観形</t>
    <phoneticPr fontId="6"/>
  </si>
  <si>
    <t>　察脈</t>
    <phoneticPr fontId="6"/>
  </si>
  <si>
    <t>　五臓形症虚実相乗</t>
    <rPh sb="4" eb="5">
      <t>ショウ</t>
    </rPh>
    <phoneticPr fontId="6"/>
  </si>
  <si>
    <t>　死症</t>
    <rPh sb="2" eb="3">
      <t>ショウ</t>
    </rPh>
    <phoneticPr fontId="6"/>
  </si>
  <si>
    <t>　乳子調護</t>
    <phoneticPr fontId="6"/>
  </si>
  <si>
    <t>　初生</t>
    <phoneticPr fontId="6"/>
  </si>
  <si>
    <t>　撮口</t>
    <phoneticPr fontId="6"/>
  </si>
  <si>
    <t>　噤口</t>
    <phoneticPr fontId="6"/>
  </si>
  <si>
    <t>　臍風　附胎風</t>
    <phoneticPr fontId="6"/>
  </si>
  <si>
    <t>　胎驚夜啼</t>
    <phoneticPr fontId="6"/>
  </si>
  <si>
    <t>　諸驚</t>
    <phoneticPr fontId="6"/>
  </si>
  <si>
    <t>　癇痓</t>
    <rPh sb="2" eb="3">
      <t>シ</t>
    </rPh>
    <phoneticPr fontId="6"/>
  </si>
  <si>
    <t>　客忤</t>
    <phoneticPr fontId="6"/>
  </si>
  <si>
    <t>　天釣</t>
    <phoneticPr fontId="6"/>
  </si>
  <si>
    <t>　内釣</t>
    <phoneticPr fontId="6"/>
  </si>
  <si>
    <t>　疝気</t>
    <phoneticPr fontId="6"/>
  </si>
  <si>
    <t>　変蒸</t>
    <phoneticPr fontId="6"/>
  </si>
  <si>
    <t>　亀胸亀背</t>
    <phoneticPr fontId="6"/>
  </si>
  <si>
    <t>　五軟五硬</t>
    <phoneticPr fontId="6"/>
  </si>
  <si>
    <t>　丹毒　附胎瘡</t>
    <phoneticPr fontId="6"/>
  </si>
  <si>
    <t>内傷乳食類</t>
    <rPh sb="0" eb="2">
      <t>ナイショウ</t>
    </rPh>
    <rPh sb="2" eb="3">
      <t>チチ</t>
    </rPh>
    <rPh sb="3" eb="4">
      <t>ショク</t>
    </rPh>
    <rPh sb="4" eb="5">
      <t>ルイ</t>
    </rPh>
    <phoneticPr fontId="6"/>
  </si>
  <si>
    <t>　吐瀉</t>
    <rPh sb="1" eb="3">
      <t>トシャ</t>
    </rPh>
    <phoneticPr fontId="6"/>
  </si>
  <si>
    <t>　五疳</t>
    <phoneticPr fontId="6"/>
  </si>
  <si>
    <t>　諸積</t>
    <phoneticPr fontId="6"/>
  </si>
  <si>
    <t>外感</t>
    <rPh sb="0" eb="2">
      <t>ガイカン</t>
    </rPh>
    <phoneticPr fontId="6"/>
  </si>
  <si>
    <t>　諸熱</t>
    <rPh sb="1" eb="3">
      <t>ショネツ</t>
    </rPh>
    <phoneticPr fontId="6"/>
  </si>
  <si>
    <t>　痘</t>
    <rPh sb="1" eb="2">
      <t>トウ</t>
    </rPh>
    <phoneticPr fontId="6"/>
  </si>
  <si>
    <t>　麻</t>
    <rPh sb="1" eb="2">
      <t>アサ</t>
    </rPh>
    <phoneticPr fontId="6"/>
  </si>
  <si>
    <t>五巻下</t>
    <rPh sb="0" eb="1">
      <t>5</t>
    </rPh>
    <rPh sb="1" eb="2">
      <t>マキ</t>
    </rPh>
    <rPh sb="2" eb="3">
      <t>シタ</t>
    </rPh>
    <phoneticPr fontId="6"/>
  </si>
  <si>
    <t>外科</t>
    <rPh sb="0" eb="2">
      <t>ゲカ</t>
    </rPh>
    <phoneticPr fontId="6"/>
  </si>
  <si>
    <t>癰疽総論</t>
    <rPh sb="0" eb="2">
      <t>ヨウソ</t>
    </rPh>
    <rPh sb="2" eb="4">
      <t>ソウロン</t>
    </rPh>
    <phoneticPr fontId="6"/>
  </si>
  <si>
    <t>脳頸部</t>
    <rPh sb="0" eb="1">
      <t>ノウ</t>
    </rPh>
    <rPh sb="1" eb="2">
      <t>クビ</t>
    </rPh>
    <rPh sb="2" eb="3">
      <t>ブ</t>
    </rPh>
    <phoneticPr fontId="6"/>
  </si>
  <si>
    <t>　脳発五種</t>
    <rPh sb="1" eb="2">
      <t>ノウ</t>
    </rPh>
    <rPh sb="2" eb="3">
      <t>ハツ</t>
    </rPh>
    <rPh sb="3" eb="4">
      <t>5</t>
    </rPh>
    <rPh sb="4" eb="5">
      <t>シュ</t>
    </rPh>
    <phoneticPr fontId="6"/>
  </si>
  <si>
    <t>手部</t>
    <rPh sb="0" eb="1">
      <t>テ</t>
    </rPh>
    <rPh sb="1" eb="2">
      <t>ブ</t>
    </rPh>
    <phoneticPr fontId="6"/>
  </si>
  <si>
    <t>胸腹部</t>
    <rPh sb="0" eb="1">
      <t>ムネ</t>
    </rPh>
    <rPh sb="1" eb="2">
      <t>ハラ</t>
    </rPh>
    <rPh sb="2" eb="3">
      <t>ブ</t>
    </rPh>
    <phoneticPr fontId="6"/>
  </si>
  <si>
    <t>背腰部</t>
    <rPh sb="0" eb="1">
      <t>セ</t>
    </rPh>
    <rPh sb="1" eb="2">
      <t>コシ</t>
    </rPh>
    <rPh sb="2" eb="3">
      <t>ブ</t>
    </rPh>
    <phoneticPr fontId="6"/>
  </si>
  <si>
    <t>臀腿部</t>
    <rPh sb="0" eb="1">
      <t>ドン</t>
    </rPh>
    <rPh sb="1" eb="2">
      <t>モモ</t>
    </rPh>
    <rPh sb="2" eb="3">
      <t>ブ</t>
    </rPh>
    <phoneticPr fontId="6"/>
  </si>
  <si>
    <t>足膝部</t>
    <rPh sb="0" eb="1">
      <t>アシ</t>
    </rPh>
    <rPh sb="1" eb="2">
      <t>ヒザ</t>
    </rPh>
    <rPh sb="2" eb="3">
      <t>ブ</t>
    </rPh>
    <phoneticPr fontId="6"/>
  </si>
  <si>
    <t>遍身部</t>
    <rPh sb="0" eb="1">
      <t>ヘン</t>
    </rPh>
    <rPh sb="1" eb="2">
      <t>ミ</t>
    </rPh>
    <rPh sb="2" eb="3">
      <t>ブ</t>
    </rPh>
    <phoneticPr fontId="6"/>
  </si>
  <si>
    <t>六巻</t>
    <rPh sb="0" eb="1">
      <t>6</t>
    </rPh>
    <rPh sb="1" eb="2">
      <t>マキ</t>
    </rPh>
    <phoneticPr fontId="6"/>
  </si>
  <si>
    <t>雑病用薬賦</t>
    <rPh sb="0" eb="2">
      <t>ザツビョウ</t>
    </rPh>
    <rPh sb="2" eb="4">
      <t>ヨウヤク</t>
    </rPh>
    <rPh sb="4" eb="5">
      <t>フ</t>
    </rPh>
    <phoneticPr fontId="6"/>
  </si>
  <si>
    <t>七巻</t>
    <rPh sb="0" eb="1">
      <t>7</t>
    </rPh>
    <rPh sb="1" eb="2">
      <t>マキ</t>
    </rPh>
    <phoneticPr fontId="6"/>
  </si>
  <si>
    <t>婦人小児外科用薬賦</t>
  </si>
  <si>
    <t>　拾遺</t>
    <phoneticPr fontId="6"/>
  </si>
  <si>
    <t>　気類</t>
    <phoneticPr fontId="6"/>
  </si>
  <si>
    <t>　血類</t>
    <phoneticPr fontId="6"/>
  </si>
  <si>
    <t>　痰類</t>
    <phoneticPr fontId="6"/>
  </si>
  <si>
    <t>　鬱類</t>
    <rPh sb="1" eb="2">
      <t>ウツ</t>
    </rPh>
    <phoneticPr fontId="6"/>
  </si>
  <si>
    <t>通用古方詩括</t>
  </si>
  <si>
    <t>　傷寒</t>
    <phoneticPr fontId="6"/>
  </si>
  <si>
    <t>急救諸方</t>
    <phoneticPr fontId="6"/>
  </si>
  <si>
    <t>怪疾</t>
    <phoneticPr fontId="6"/>
  </si>
  <si>
    <t>水火分治</t>
  </si>
  <si>
    <t>標本分治</t>
  </si>
  <si>
    <t>標本論</t>
  </si>
  <si>
    <t>求本論</t>
  </si>
  <si>
    <t>雑治賦</t>
  </si>
  <si>
    <t>習医規格</t>
  </si>
  <si>
    <t>◎諸病源候論</t>
    <rPh sb="1" eb="6">
      <t>ショビョウゲンコウロン</t>
    </rPh>
    <phoneticPr fontId="6"/>
  </si>
  <si>
    <t>○諸病源候論</t>
  </si>
  <si>
    <t>富士川文庫1</t>
  </si>
  <si>
    <t>諸病源候論</t>
    <rPh sb="0" eb="5">
      <t>ショビョウゲンコウロン</t>
    </rPh>
    <phoneticPr fontId="6"/>
  </si>
  <si>
    <t>諸病源候論　50（1から5欠）</t>
  </si>
  <si>
    <t>目録　巻1</t>
  </si>
  <si>
    <t>諸病源候論　50（11から15欠）</t>
  </si>
  <si>
    <t>中風候</t>
  </si>
  <si>
    <t>01-001（巻01）</t>
  </si>
  <si>
    <r>
      <t>風</t>
    </r>
    <r>
      <rPr>
        <sz val="11"/>
        <color theme="1"/>
        <rFont val="游ゴシック"/>
        <family val="3"/>
        <charset val="134"/>
      </rPr>
      <t>癔</t>
    </r>
    <r>
      <rPr>
        <sz val="11"/>
        <color theme="1"/>
        <rFont val="ＭＳ Ｐゴシック"/>
        <family val="3"/>
        <charset val="128"/>
      </rPr>
      <t>候</t>
    </r>
  </si>
  <si>
    <t>01-002（巻01）</t>
  </si>
  <si>
    <t>風口噤候</t>
  </si>
  <si>
    <t>01-003（巻01）</t>
  </si>
  <si>
    <t>風舌強不得語候</t>
  </si>
  <si>
    <t>01-004（巻01）</t>
  </si>
  <si>
    <t>風失音不語候</t>
  </si>
  <si>
    <t>01-005（巻01）</t>
  </si>
  <si>
    <t>賊風候</t>
  </si>
  <si>
    <t>01-006（巻01）</t>
  </si>
  <si>
    <t>風痙候</t>
  </si>
  <si>
    <t>01-007（巻01）</t>
  </si>
  <si>
    <t>風角弓反張候</t>
  </si>
  <si>
    <t>01-008（巻01）</t>
  </si>
  <si>
    <t>風口喎候</t>
  </si>
  <si>
    <t>01-009（巻01）</t>
  </si>
  <si>
    <t>柔風候</t>
  </si>
  <si>
    <t>01-010（巻01）</t>
  </si>
  <si>
    <t>風痱候</t>
  </si>
  <si>
    <t>01-011（巻01）</t>
  </si>
  <si>
    <r>
      <t>風</t>
    </r>
    <r>
      <rPr>
        <sz val="11"/>
        <color theme="1"/>
        <rFont val="游ゴシック"/>
        <family val="3"/>
        <charset val="136"/>
      </rPr>
      <t>腲</t>
    </r>
    <r>
      <rPr>
        <sz val="11"/>
        <color theme="1"/>
        <rFont val="ＭＳ Ｐゴシック"/>
        <family val="3"/>
        <charset val="128"/>
      </rPr>
      <t>退候</t>
    </r>
  </si>
  <si>
    <t>01-012（巻01）</t>
  </si>
  <si>
    <t>風偏枯候</t>
  </si>
  <si>
    <t>01-013（巻01）</t>
  </si>
  <si>
    <t>風四支拘攣不得屈伸候</t>
  </si>
  <si>
    <t>01-014（巻01）</t>
  </si>
  <si>
    <t>風身体手足不随候</t>
  </si>
  <si>
    <t>01-015（巻01）</t>
  </si>
  <si>
    <t>風湿痺身体手足不随候</t>
  </si>
  <si>
    <t>01-016（巻01）</t>
  </si>
  <si>
    <t>風痺手足不随候</t>
  </si>
  <si>
    <t>01-017（巻01）</t>
  </si>
  <si>
    <t>風半身不随候</t>
  </si>
  <si>
    <t>01-018（巻01）</t>
  </si>
  <si>
    <t>偏風候</t>
  </si>
  <si>
    <t>01-019（巻01）</t>
  </si>
  <si>
    <r>
      <t>風</t>
    </r>
    <r>
      <rPr>
        <sz val="11"/>
        <color theme="1"/>
        <rFont val="游ゴシック"/>
        <family val="3"/>
        <charset val="134"/>
      </rPr>
      <t>亸</t>
    </r>
    <r>
      <rPr>
        <sz val="11"/>
        <color theme="1"/>
        <rFont val="ＭＳ Ｐゴシック"/>
        <family val="3"/>
        <charset val="128"/>
      </rPr>
      <t>曳候</t>
    </r>
  </si>
  <si>
    <t>01-020（巻01）</t>
  </si>
  <si>
    <t>風不仁候</t>
  </si>
  <si>
    <t>01-021（巻01）</t>
  </si>
  <si>
    <t>風湿痺候</t>
  </si>
  <si>
    <t>01-022（巻01）</t>
  </si>
  <si>
    <t>風湿候</t>
  </si>
  <si>
    <t>01-023（巻01）</t>
  </si>
  <si>
    <t>風痺候</t>
  </si>
  <si>
    <t>01-024（巻01）</t>
  </si>
  <si>
    <t>血痺候</t>
  </si>
  <si>
    <t>01-025（巻01）</t>
  </si>
  <si>
    <t>風驚邪候</t>
  </si>
  <si>
    <t>01-026（巻01）</t>
  </si>
  <si>
    <t>風驚悸候</t>
  </si>
  <si>
    <t>01-027（巻01）</t>
  </si>
  <si>
    <t>風驚恐候</t>
  </si>
  <si>
    <t>01-028（巻01）</t>
  </si>
  <si>
    <t>風驚候</t>
  </si>
  <si>
    <t>01-029（巻01）</t>
  </si>
  <si>
    <t>歴節風候</t>
  </si>
  <si>
    <t>01-030（巻02）</t>
  </si>
  <si>
    <t>風身体疼痛候</t>
  </si>
  <si>
    <t>01-031（巻02）</t>
  </si>
  <si>
    <t>風入腹拘急切痛候</t>
  </si>
  <si>
    <t>01-032（巻02）</t>
  </si>
  <si>
    <t>風経五蔵恍惚候</t>
  </si>
  <si>
    <t>01-033（巻02）</t>
  </si>
  <si>
    <t>刺風候</t>
  </si>
  <si>
    <t>01-034（巻02）</t>
  </si>
  <si>
    <t>蠱風候</t>
  </si>
  <si>
    <t>01-035（巻02）</t>
  </si>
  <si>
    <t>風冷候</t>
  </si>
  <si>
    <t>01-036（巻02）</t>
  </si>
  <si>
    <t>風熱候</t>
  </si>
  <si>
    <t>01-037（巻02）</t>
  </si>
  <si>
    <t>風気候</t>
  </si>
  <si>
    <t>01-038（巻02）</t>
  </si>
  <si>
    <t>風冷失声候</t>
  </si>
  <si>
    <t>01-039（巻02）</t>
  </si>
  <si>
    <t>中冷声嘶候</t>
  </si>
  <si>
    <t>01-040（巻02）</t>
  </si>
  <si>
    <t>頭面風候</t>
  </si>
  <si>
    <t>01-041（巻02）</t>
  </si>
  <si>
    <t>風頭眩候</t>
  </si>
  <si>
    <t>01-042（巻02）</t>
  </si>
  <si>
    <t>風癲候</t>
  </si>
  <si>
    <t>01-043（巻02）</t>
  </si>
  <si>
    <t>五癲病候</t>
  </si>
  <si>
    <t>01-044（巻02）</t>
  </si>
  <si>
    <t>風狂病候</t>
  </si>
  <si>
    <t>01-045（巻02）</t>
  </si>
  <si>
    <t>風邪候</t>
  </si>
  <si>
    <t>01-046（巻02）</t>
  </si>
  <si>
    <t>鬼邪候</t>
  </si>
  <si>
    <t>01-047（巻02）</t>
  </si>
  <si>
    <t>鬼魅候</t>
  </si>
  <si>
    <t>01-048（巻02）</t>
  </si>
  <si>
    <t>悪風鬚眉堕落候</t>
  </si>
  <si>
    <t>01-049（巻02）</t>
  </si>
  <si>
    <t>悪風候</t>
  </si>
  <si>
    <t>01-050（巻02）</t>
  </si>
  <si>
    <t>風瘙隠軫候</t>
  </si>
  <si>
    <t>01-051（巻02）</t>
  </si>
  <si>
    <t>風瘙身体隠軫生瘡候</t>
  </si>
  <si>
    <t>01-052（巻02）</t>
  </si>
  <si>
    <t>風瘙癢候</t>
  </si>
  <si>
    <t>01-053（巻02）</t>
  </si>
  <si>
    <t>風身体如蟲行候</t>
  </si>
  <si>
    <t>01-054（巻02）</t>
  </si>
  <si>
    <t>風癢候</t>
  </si>
  <si>
    <t>01-055（巻02）</t>
  </si>
  <si>
    <t>風㾦㿔候</t>
  </si>
  <si>
    <t>01-056（巻02）</t>
  </si>
  <si>
    <t>諸癩候</t>
  </si>
  <si>
    <t>01-057（巻02）</t>
  </si>
  <si>
    <t>烏癩候</t>
  </si>
  <si>
    <t>01-058（巻02）</t>
  </si>
  <si>
    <t>白癩候</t>
  </si>
  <si>
    <t>01-059（巻02）</t>
  </si>
  <si>
    <t>虚労候</t>
  </si>
  <si>
    <t>02-001（巻03）</t>
  </si>
  <si>
    <t>虚労羸瘦候</t>
  </si>
  <si>
    <t>02-002（巻03）</t>
  </si>
  <si>
    <t>虚労不能食候</t>
  </si>
  <si>
    <t>02-003（巻03）</t>
  </si>
  <si>
    <t>虚労胃気虚弱不能消穀候</t>
  </si>
  <si>
    <t>02-004（巻03）</t>
  </si>
  <si>
    <t>虚労三焦不調候</t>
  </si>
  <si>
    <t>02-005（巻03）</t>
  </si>
  <si>
    <t>虚労寒冷候</t>
  </si>
  <si>
    <t>02-006（巻03）</t>
  </si>
  <si>
    <t>虚労痰飲候</t>
  </si>
  <si>
    <t>02-007（巻03）</t>
  </si>
  <si>
    <t>虚労四支逆冷候</t>
  </si>
  <si>
    <t>02-008（巻03）</t>
  </si>
  <si>
    <t>虚労手足煩疼候</t>
  </si>
  <si>
    <t>02-009（巻03）</t>
  </si>
  <si>
    <t>虚労積聚候</t>
  </si>
  <si>
    <t>02-010（巻03）</t>
  </si>
  <si>
    <t>虚労癥瘕候</t>
  </si>
  <si>
    <t>02-011（巻03）</t>
  </si>
  <si>
    <t>虚労上気候</t>
  </si>
  <si>
    <t>02-012（巻03）</t>
  </si>
  <si>
    <t>虚労客熱候</t>
  </si>
  <si>
    <t>02-013（巻03）</t>
  </si>
  <si>
    <t>虚労少気候</t>
  </si>
  <si>
    <t>02-014（巻03）</t>
  </si>
  <si>
    <t>虚労熱候</t>
  </si>
  <si>
    <t>02-015（巻03）</t>
  </si>
  <si>
    <t>虚労無子候</t>
  </si>
  <si>
    <t>02-016（巻03）</t>
  </si>
  <si>
    <t>虚労裏急候</t>
  </si>
  <si>
    <t>02-017（巻03）</t>
  </si>
  <si>
    <t>虚労傷筋骨候</t>
  </si>
  <si>
    <t>02-018（巻03）</t>
  </si>
  <si>
    <t>虚労筋攣候</t>
  </si>
  <si>
    <t>02-019（巻03）</t>
  </si>
  <si>
    <t>虚労驚悸候</t>
  </si>
  <si>
    <t>02-020（巻03）</t>
  </si>
  <si>
    <t>虚労風痿痺不随候</t>
  </si>
  <si>
    <t>02-021（巻03）</t>
  </si>
  <si>
    <t>虚労目暗候</t>
  </si>
  <si>
    <t>02-022（巻03）</t>
  </si>
  <si>
    <t>虚労耳聾候</t>
  </si>
  <si>
    <t>02-023（巻03）</t>
  </si>
  <si>
    <t>虚労不得眠候</t>
  </si>
  <si>
    <t>02-024（巻03）</t>
  </si>
  <si>
    <t>大病後不得眠候</t>
  </si>
  <si>
    <t>02-025（巻03）</t>
  </si>
  <si>
    <t>病後虚腫候</t>
  </si>
  <si>
    <t>02-026（巻03）</t>
  </si>
  <si>
    <t>虚労脈結候</t>
  </si>
  <si>
    <t>02-027（巻03）</t>
  </si>
  <si>
    <t>虚労汗候</t>
  </si>
  <si>
    <t>02-028（巻03）</t>
  </si>
  <si>
    <t>虚労盗汗候</t>
  </si>
  <si>
    <t>02-029（巻03）</t>
  </si>
  <si>
    <t>諸大病後虚不足候</t>
  </si>
  <si>
    <t>02-030（巻03）</t>
  </si>
  <si>
    <t>大病後虚汗候</t>
  </si>
  <si>
    <t>02-031（巻03）</t>
  </si>
  <si>
    <t>風虚汗出候</t>
  </si>
  <si>
    <t>02-032（巻03）</t>
  </si>
  <si>
    <t>虚労心腹否満候</t>
  </si>
  <si>
    <t>02-033（巻03）</t>
  </si>
  <si>
    <t>虚労心腹痛候</t>
  </si>
  <si>
    <t>02-034（巻03）</t>
  </si>
  <si>
    <t>虚労嘔逆候</t>
  </si>
  <si>
    <t>02-035（巻03）</t>
  </si>
  <si>
    <t>虚労欬嗽候</t>
  </si>
  <si>
    <t>02-036（巻03）</t>
  </si>
  <si>
    <t>虚労体痛候</t>
  </si>
  <si>
    <t>02-037（巻03）</t>
  </si>
  <si>
    <t>虚労寒熱候</t>
  </si>
  <si>
    <t>02-038（巻03）</t>
  </si>
  <si>
    <t>虚労口乾燥候</t>
  </si>
  <si>
    <t>02-039（巻03）</t>
  </si>
  <si>
    <t>虚労骨蒸候</t>
  </si>
  <si>
    <t>02-040（巻04）</t>
  </si>
  <si>
    <t>虚労舌腫候</t>
  </si>
  <si>
    <t>02-041（巻04）</t>
  </si>
  <si>
    <t>虚労手足皮剥候</t>
  </si>
  <si>
    <t>02-042（巻04）</t>
  </si>
  <si>
    <t>虚労浮腫候</t>
  </si>
  <si>
    <t>02-043（巻04）</t>
  </si>
  <si>
    <t>虚労煩悶候</t>
  </si>
  <si>
    <t>02-044（巻04）</t>
  </si>
  <si>
    <t>虚労凝唾候</t>
  </si>
  <si>
    <t>02-045（巻04）</t>
  </si>
  <si>
    <t>虚労嘔逆唾血候</t>
  </si>
  <si>
    <t>02-046（巻04）</t>
  </si>
  <si>
    <t>虚労嘔血候</t>
  </si>
  <si>
    <t>02-047（巻04）</t>
  </si>
  <si>
    <t>虚労鼻衄候</t>
  </si>
  <si>
    <t>02-048（巻04）</t>
  </si>
  <si>
    <t>虚労吐下血矣</t>
  </si>
  <si>
    <t>02-049（巻04）</t>
  </si>
  <si>
    <t>虚労吐利候</t>
  </si>
  <si>
    <t>02-050（巻04）</t>
  </si>
  <si>
    <t>虚労兼痢候</t>
  </si>
  <si>
    <t>02-051（巻04）</t>
  </si>
  <si>
    <t>虚労秘渋候</t>
  </si>
  <si>
    <t>02-052（巻04）</t>
  </si>
  <si>
    <t>虚労小便利候</t>
  </si>
  <si>
    <t>02-053（巻04）</t>
  </si>
  <si>
    <t>虚労小便難候</t>
  </si>
  <si>
    <t>02-054（巻04）</t>
  </si>
  <si>
    <t>虚労小便餘瀝候</t>
  </si>
  <si>
    <t>02-055（巻04）</t>
  </si>
  <si>
    <t>虚労小便白濁候</t>
  </si>
  <si>
    <t>02-056（巻04）</t>
  </si>
  <si>
    <t>虚労少精候</t>
  </si>
  <si>
    <t>02-057（巻04）</t>
  </si>
  <si>
    <t>虚労尿精候</t>
  </si>
  <si>
    <t>02-058（巻04）</t>
  </si>
  <si>
    <t>虚労溢精見聞精出候</t>
  </si>
  <si>
    <t>02-059（巻04）</t>
  </si>
  <si>
    <t>虚労失精候</t>
  </si>
  <si>
    <t>02-060（巻04）</t>
  </si>
  <si>
    <t>虚労夢泄精候</t>
  </si>
  <si>
    <t>02-061（巻04）</t>
  </si>
  <si>
    <t>虚労喜夢候</t>
  </si>
  <si>
    <t>02-062（巻04）</t>
  </si>
  <si>
    <t>虚労尿血候</t>
  </si>
  <si>
    <t>02-063（巻04）</t>
  </si>
  <si>
    <t>虚労精血出候</t>
  </si>
  <si>
    <t>02-064（巻04）</t>
  </si>
  <si>
    <t>虚労膝冷候</t>
  </si>
  <si>
    <t>02-065（巻04）</t>
  </si>
  <si>
    <t>虚労陰冷候</t>
  </si>
  <si>
    <t>02-066（巻04）</t>
  </si>
  <si>
    <t>虚労髀枢痛候</t>
  </si>
  <si>
    <t>02-067（巻04）</t>
  </si>
  <si>
    <t>虚労偏枯候</t>
  </si>
  <si>
    <t>02-068（巻04）</t>
  </si>
  <si>
    <t>虚労陰萎候</t>
  </si>
  <si>
    <t>02-069（巻04）</t>
  </si>
  <si>
    <t>虚労陰痛候</t>
  </si>
  <si>
    <t>02-070（巻04）</t>
  </si>
  <si>
    <t>虚労陰腫候</t>
  </si>
  <si>
    <t>02-071（巻04）</t>
  </si>
  <si>
    <t>虚労陰疝腫縮候</t>
  </si>
  <si>
    <t>02-072（巻04）</t>
  </si>
  <si>
    <t>虚労陰下痒湿候</t>
  </si>
  <si>
    <t>02-073（巻04）</t>
  </si>
  <si>
    <t>虚労陰瘡候</t>
  </si>
  <si>
    <t>02-074（巻04）</t>
  </si>
  <si>
    <t>風虚労候</t>
  </si>
  <si>
    <t>02-075（巻04）</t>
  </si>
  <si>
    <t>腰痛候</t>
  </si>
  <si>
    <t>03-001（巻05）</t>
  </si>
  <si>
    <t>腰痛不得俛仰候</t>
  </si>
  <si>
    <t>03-002（巻05）</t>
  </si>
  <si>
    <t>風湿腰痛候</t>
  </si>
  <si>
    <t>03-003（巻05）</t>
  </si>
  <si>
    <t>卒腰痛候</t>
  </si>
  <si>
    <t>03-004（巻05）</t>
  </si>
  <si>
    <t>久腰痛候</t>
  </si>
  <si>
    <t>03-005（巻05）</t>
  </si>
  <si>
    <t>腎著腰痛候</t>
  </si>
  <si>
    <t>03-006（巻05）</t>
  </si>
  <si>
    <t>䐴腰候</t>
  </si>
  <si>
    <t>03-007（巻05）</t>
  </si>
  <si>
    <t>腰脚疼痛候</t>
  </si>
  <si>
    <t>03-008（巻05）</t>
  </si>
  <si>
    <t>背僂候</t>
  </si>
  <si>
    <t>03-009（巻05）</t>
  </si>
  <si>
    <t>脇痛候</t>
  </si>
  <si>
    <t>03-010（巻05）</t>
  </si>
  <si>
    <t>消渇候</t>
  </si>
  <si>
    <t>04-001（巻05）</t>
  </si>
  <si>
    <t>渇病候</t>
  </si>
  <si>
    <t>04-002（巻05）</t>
  </si>
  <si>
    <t>大渇後虚乏候</t>
  </si>
  <si>
    <t>04-003（巻05）</t>
  </si>
  <si>
    <t>渇利候</t>
  </si>
  <si>
    <t>04-004（巻05）</t>
  </si>
  <si>
    <t>渇利損後候</t>
  </si>
  <si>
    <t>04-005（巻05）</t>
  </si>
  <si>
    <t>渇利後発瘡候</t>
  </si>
  <si>
    <t>04-006（巻05）</t>
  </si>
  <si>
    <t>内消候</t>
  </si>
  <si>
    <t>04-007（巻05）</t>
  </si>
  <si>
    <t>強中候</t>
  </si>
  <si>
    <t>04-008（巻05）</t>
  </si>
  <si>
    <t>寒食散発候</t>
  </si>
  <si>
    <t>05-001（巻06）</t>
  </si>
  <si>
    <t>解散痰癖候</t>
  </si>
  <si>
    <t>05-002（巻06）</t>
  </si>
  <si>
    <t>解散除熱候</t>
  </si>
  <si>
    <t>05-003（巻06）</t>
  </si>
  <si>
    <t>解散浮腫候</t>
  </si>
  <si>
    <t>05-004（巻06）</t>
  </si>
  <si>
    <t>解散渇候</t>
  </si>
  <si>
    <t>05-005（巻06）</t>
  </si>
  <si>
    <t>解散上気候</t>
  </si>
  <si>
    <t>05-006（巻06）</t>
  </si>
  <si>
    <r>
      <t>解散心腹痛心</t>
    </r>
    <r>
      <rPr>
        <sz val="11"/>
        <color theme="1"/>
        <rFont val="游ゴシック"/>
        <family val="3"/>
        <charset val="136"/>
      </rPr>
      <t>澿</t>
    </r>
    <r>
      <rPr>
        <sz val="11"/>
        <color theme="1"/>
        <rFont val="ＭＳ Ｐゴシック"/>
        <family val="3"/>
        <charset val="128"/>
      </rPr>
      <t>候</t>
    </r>
  </si>
  <si>
    <t>05-007（巻06）</t>
  </si>
  <si>
    <t>解散大便秘難候</t>
  </si>
  <si>
    <t>05-008（巻06）</t>
  </si>
  <si>
    <t>解散虚冷小便多候</t>
  </si>
  <si>
    <t>05-009（巻06）</t>
  </si>
  <si>
    <t>解散大便血候</t>
  </si>
  <si>
    <t>05-010（巻06）</t>
  </si>
  <si>
    <t>解散卒下利候</t>
  </si>
  <si>
    <t>05-011（巻06）</t>
  </si>
  <si>
    <t>解散下利後諸病候</t>
  </si>
  <si>
    <t>05-012（巻06）</t>
  </si>
  <si>
    <t>解散大小便難候</t>
  </si>
  <si>
    <t>05-013（巻06）</t>
  </si>
  <si>
    <t>解散小便不通候</t>
  </si>
  <si>
    <t>05-014（巻06）</t>
  </si>
  <si>
    <t>解散熱淋候</t>
  </si>
  <si>
    <t>05-015（巻06）</t>
  </si>
  <si>
    <t>解散発黄候</t>
  </si>
  <si>
    <t>05-016（巻06）</t>
  </si>
  <si>
    <t>解散脚熱腰痛候</t>
  </si>
  <si>
    <t>05-017（巻06）</t>
  </si>
  <si>
    <t>解散鼻塞候</t>
  </si>
  <si>
    <t>05-018（巻06）</t>
  </si>
  <si>
    <t>解散発瘡候</t>
  </si>
  <si>
    <t>05-019（巻06）</t>
  </si>
  <si>
    <t>解散癰腫候</t>
  </si>
  <si>
    <t>05-020（巻06）</t>
  </si>
  <si>
    <t>解散煩悶候</t>
  </si>
  <si>
    <t>05-021（巻06）</t>
  </si>
  <si>
    <t>解散嘔逆候</t>
  </si>
  <si>
    <t>05-022（巻06）</t>
  </si>
  <si>
    <t>解散目無所見目疼候</t>
  </si>
  <si>
    <t>05-023（巻06）</t>
  </si>
  <si>
    <t>解散心腹脹満候</t>
  </si>
  <si>
    <t>05-024（巻06）</t>
  </si>
  <si>
    <t>解散挟風労候</t>
  </si>
  <si>
    <t>05-025（巻06）</t>
  </si>
  <si>
    <t>解散飲酒発熱候</t>
  </si>
  <si>
    <t>05-026（巻06）</t>
  </si>
  <si>
    <t>傷寒候</t>
  </si>
  <si>
    <t>06-001（巻07）</t>
  </si>
  <si>
    <t>傷寒発汗不解候</t>
  </si>
  <si>
    <t>06-002（巻07）</t>
  </si>
  <si>
    <t>傷寒取吐候</t>
  </si>
  <si>
    <t>06-003（巻07）</t>
  </si>
  <si>
    <t>中風傷寒候</t>
  </si>
  <si>
    <t>06-004（巻07）</t>
  </si>
  <si>
    <t>傷寒一日候</t>
  </si>
  <si>
    <t>06-005（巻07）</t>
  </si>
  <si>
    <t>傷寒二日候</t>
  </si>
  <si>
    <t>06-006（巻07）</t>
  </si>
  <si>
    <t>傷寒三日候</t>
  </si>
  <si>
    <t>06-007（巻07）</t>
  </si>
  <si>
    <t>傷寒四日候</t>
  </si>
  <si>
    <t>06-008（巻07）</t>
  </si>
  <si>
    <t>傷寒五日候</t>
  </si>
  <si>
    <t>06-009（巻07）</t>
  </si>
  <si>
    <t>傷寒六日候</t>
  </si>
  <si>
    <t>06-010（巻07）</t>
  </si>
  <si>
    <t>傷寒七日候</t>
  </si>
  <si>
    <t>06-011（巻07）</t>
  </si>
  <si>
    <t>傷寒八日候</t>
  </si>
  <si>
    <t>06-012（巻07）</t>
  </si>
  <si>
    <t>傷寒九日已上候</t>
  </si>
  <si>
    <t>06-013（巻07）</t>
  </si>
  <si>
    <t>傷寒咽喉痛候</t>
  </si>
  <si>
    <t>06-014（巻07）</t>
  </si>
  <si>
    <t>傷寒斑瘡候</t>
  </si>
  <si>
    <t>06-015（巻07）</t>
  </si>
  <si>
    <t>傷寒口瘡候</t>
  </si>
  <si>
    <t>06-016（巻07）</t>
  </si>
  <si>
    <t>傷寒登豆瘡候</t>
  </si>
  <si>
    <t>06-017（巻07）</t>
  </si>
  <si>
    <t>傷寒登豆瘡後滅瘢候</t>
  </si>
  <si>
    <t>06-018（巻07）</t>
  </si>
  <si>
    <t>傷寒謬語候</t>
  </si>
  <si>
    <t>06-019（巻07）</t>
  </si>
  <si>
    <t>傷寒煩候</t>
  </si>
  <si>
    <t>06-020（巻07）</t>
  </si>
  <si>
    <t>傷寒虚煩候</t>
  </si>
  <si>
    <t>06-021（巻07）</t>
  </si>
  <si>
    <t>傷寒煩悶候</t>
  </si>
  <si>
    <t>06-022（巻07）</t>
  </si>
  <si>
    <t>傷寒渇候</t>
  </si>
  <si>
    <t>06-023（巻07）</t>
  </si>
  <si>
    <t>傷寒嘔候</t>
  </si>
  <si>
    <t>06-024（巻07）</t>
  </si>
  <si>
    <t>傷寒乾嘔候</t>
  </si>
  <si>
    <t>06-025（巻07）</t>
  </si>
  <si>
    <t>傷寒吐逆候</t>
  </si>
  <si>
    <t>06-026（巻07）</t>
  </si>
  <si>
    <t>傷寒噦候</t>
  </si>
  <si>
    <t>06-027（巻07）</t>
  </si>
  <si>
    <t>傷寒喘候</t>
  </si>
  <si>
    <t>06-028（巻07）</t>
  </si>
  <si>
    <t>傷寒厥候</t>
  </si>
  <si>
    <t>06-029（巻07）</t>
  </si>
  <si>
    <t>傷寒悸候</t>
  </si>
  <si>
    <t>06-030（巻07）</t>
  </si>
  <si>
    <t>傷寒痓候</t>
  </si>
  <si>
    <t>06-031（巻07）</t>
  </si>
  <si>
    <t>傷寒心否候</t>
  </si>
  <si>
    <t>06-032（巻07）</t>
  </si>
  <si>
    <t>傷寒結胸候</t>
  </si>
  <si>
    <t>06-033（巻07）</t>
  </si>
  <si>
    <t>傷寒餘熱候</t>
  </si>
  <si>
    <t>06-034（巻08）</t>
  </si>
  <si>
    <t>傷寒五蔵熱候</t>
  </si>
  <si>
    <t>06-035（巻08）</t>
  </si>
  <si>
    <t>傷寒変成黄候</t>
  </si>
  <si>
    <t>06-036（巻08）</t>
  </si>
  <si>
    <t>傷寒心腹脹満痛候</t>
  </si>
  <si>
    <t>06-037（巻08）</t>
  </si>
  <si>
    <t>傷寒宿食不消候</t>
  </si>
  <si>
    <t>06-038（巻08）</t>
  </si>
  <si>
    <t>傷寒大便不通候</t>
  </si>
  <si>
    <t>06-039（巻08）</t>
  </si>
  <si>
    <t>傷寒小便不通候</t>
  </si>
  <si>
    <t>06-040（巻08）</t>
  </si>
  <si>
    <t>寒傷熱毒利候</t>
  </si>
  <si>
    <t>06-041（巻08）</t>
  </si>
  <si>
    <t>傷寒膿血利候</t>
  </si>
  <si>
    <t>06-042（巻08）</t>
  </si>
  <si>
    <t>傷寒利候</t>
  </si>
  <si>
    <t>06-043（巻08）</t>
  </si>
  <si>
    <t>傷寒病後胃気不和利候</t>
  </si>
  <si>
    <t>06-044（巻08）</t>
  </si>
  <si>
    <t>傷寒上気候</t>
  </si>
  <si>
    <t>06-045（巻08）</t>
  </si>
  <si>
    <t>傷寒欬嗽候</t>
  </si>
  <si>
    <t>06-046（巻08）</t>
  </si>
  <si>
    <t>傷寒衄血候</t>
  </si>
  <si>
    <t>06-047（巻08）</t>
  </si>
  <si>
    <t>傷寒吐血候</t>
  </si>
  <si>
    <t>06-048（巻08）</t>
  </si>
  <si>
    <t>傷寒陰陽毒候</t>
  </si>
  <si>
    <t>06-049（巻08）</t>
  </si>
  <si>
    <t>壊傷寒候</t>
  </si>
  <si>
    <t>06-050（巻08）</t>
  </si>
  <si>
    <t>傷寒百合候</t>
  </si>
  <si>
    <t>06-051（巻08）</t>
  </si>
  <si>
    <t>傷寒狐惑候</t>
  </si>
  <si>
    <t>06-052（巻08）</t>
  </si>
  <si>
    <t>傷寒湿䘌候</t>
  </si>
  <si>
    <t>06-053（巻08）</t>
  </si>
  <si>
    <t>傷寒下部痛候</t>
  </si>
  <si>
    <t>06-054（巻08）</t>
  </si>
  <si>
    <t>傷寒病後熱不除候</t>
  </si>
  <si>
    <t>06-055（巻08）</t>
  </si>
  <si>
    <t>傷寒病後渇候</t>
  </si>
  <si>
    <t>06-056（巻08）</t>
  </si>
  <si>
    <t>傷寒病後不得眠候</t>
  </si>
  <si>
    <t>06-057（巻08）</t>
  </si>
  <si>
    <t>傷寒病後虚羸候</t>
  </si>
  <si>
    <t>06-058（巻08）</t>
  </si>
  <si>
    <t>傷寒病後不能食候</t>
  </si>
  <si>
    <t>06-059（巻08）</t>
  </si>
  <si>
    <t>傷寒病後虚汗候</t>
  </si>
  <si>
    <t>06-060（巻08）</t>
  </si>
  <si>
    <t>傷寒内有瘀血候</t>
  </si>
  <si>
    <t>06-061（巻08）</t>
  </si>
  <si>
    <t>傷寒毒攻眼候</t>
  </si>
  <si>
    <t>06-062（巻08）</t>
  </si>
  <si>
    <t>傷寒毒攻足候</t>
  </si>
  <si>
    <t>06-063（巻08）</t>
  </si>
  <si>
    <t>傷寒毒流腫候</t>
  </si>
  <si>
    <t>06-064（巻08）</t>
  </si>
  <si>
    <t>傷寒後脚気候</t>
  </si>
  <si>
    <t>06-065（巻08）</t>
  </si>
  <si>
    <t>傷寒後霍乱候</t>
  </si>
  <si>
    <t>06-066（巻08）</t>
  </si>
  <si>
    <t>傷寒病後瘧候</t>
  </si>
  <si>
    <t>06-067（巻08）</t>
  </si>
  <si>
    <t>傷寒病後渇利候</t>
  </si>
  <si>
    <t>06-068（巻08）</t>
  </si>
  <si>
    <t>傷寒肺痿候</t>
  </si>
  <si>
    <t>06-069（巻08）</t>
  </si>
  <si>
    <t>傷寒失声候</t>
  </si>
  <si>
    <t>06-070（巻08）</t>
  </si>
  <si>
    <t>傷寒夢泄精候</t>
  </si>
  <si>
    <t>06-071（巻08）</t>
  </si>
  <si>
    <t>傷寒労復候</t>
  </si>
  <si>
    <t>06-072（巻08）</t>
  </si>
  <si>
    <t>傷寒病後食復侯</t>
  </si>
  <si>
    <t>06-073（巻08）</t>
  </si>
  <si>
    <t>傷寒病後令不復候</t>
  </si>
  <si>
    <t>06-074（巻08）</t>
  </si>
  <si>
    <t>傷寒陰陽易候</t>
  </si>
  <si>
    <t>06-075（巻08）</t>
  </si>
  <si>
    <t>傷寒交接労復候</t>
  </si>
  <si>
    <t>06-076（巻08）</t>
  </si>
  <si>
    <t>傷寒令不相染易候</t>
  </si>
  <si>
    <t>06-077（巻08）</t>
  </si>
  <si>
    <t>時気候</t>
  </si>
  <si>
    <t>07-001（巻09）</t>
  </si>
  <si>
    <t>時気一日候</t>
  </si>
  <si>
    <t>07-002（巻09）</t>
  </si>
  <si>
    <t>時気二日候</t>
  </si>
  <si>
    <t>07-003（巻09）</t>
  </si>
  <si>
    <t>時気三日候</t>
  </si>
  <si>
    <t>07-004（巻09）</t>
  </si>
  <si>
    <t>時気四日候</t>
  </si>
  <si>
    <t>07-005（巻09）</t>
  </si>
  <si>
    <t>時気五日候</t>
  </si>
  <si>
    <t>07-006（巻09）</t>
  </si>
  <si>
    <t>時気六日候</t>
  </si>
  <si>
    <t>07-007（巻09）</t>
  </si>
  <si>
    <t>時気七日候</t>
  </si>
  <si>
    <t>07-008（巻09）</t>
  </si>
  <si>
    <t>時気八九日已上候</t>
  </si>
  <si>
    <t>07-009（巻09）</t>
  </si>
  <si>
    <t>時気取吐候</t>
  </si>
  <si>
    <t>07-010（巻09）</t>
  </si>
  <si>
    <t>時気煩候</t>
  </si>
  <si>
    <t>07-011（巻09）</t>
  </si>
  <si>
    <t>時気狂言候</t>
  </si>
  <si>
    <t>07-012（巻09）</t>
  </si>
  <si>
    <t>時気嘔候</t>
  </si>
  <si>
    <t>07-013（巻09）</t>
  </si>
  <si>
    <t>時気乾嘔候</t>
  </si>
  <si>
    <t>07-014（巻09）</t>
  </si>
  <si>
    <t>時気噦候</t>
  </si>
  <si>
    <t>07-015（巻09）</t>
  </si>
  <si>
    <t>時気嗽候</t>
  </si>
  <si>
    <t>07-016（巻09）</t>
  </si>
  <si>
    <t>時気渇候</t>
  </si>
  <si>
    <t>07-017（巻09）</t>
  </si>
  <si>
    <t>時気衄血候</t>
  </si>
  <si>
    <t>07-018（巻09）</t>
  </si>
  <si>
    <t>時気吐血候</t>
  </si>
  <si>
    <t>07-019（巻09）</t>
  </si>
  <si>
    <t>時気口瘡候</t>
  </si>
  <si>
    <t>07-020（巻09）</t>
  </si>
  <si>
    <t>時気喉咽痛候</t>
  </si>
  <si>
    <t>07-021（巻09）</t>
  </si>
  <si>
    <t>時気発斑候</t>
  </si>
  <si>
    <t>07-022（巻09）</t>
  </si>
  <si>
    <t>時気毒攻眼候</t>
  </si>
  <si>
    <t>07-023（巻09）</t>
  </si>
  <si>
    <t>時気毒攻手足候</t>
  </si>
  <si>
    <t>07-024（巻09）</t>
  </si>
  <si>
    <t>時気皰瘡候</t>
  </si>
  <si>
    <t>07-025（巻09）</t>
  </si>
  <si>
    <t>時気瘙瘡候</t>
  </si>
  <si>
    <t>07-026（巻09）</t>
  </si>
  <si>
    <t>時気䘌候</t>
  </si>
  <si>
    <t>07-027（巻09）</t>
  </si>
  <si>
    <t>時気熱利候</t>
  </si>
  <si>
    <t>07-028（巻09）</t>
  </si>
  <si>
    <t>時気膿血利候</t>
  </si>
  <si>
    <t>07-029（巻09）</t>
  </si>
  <si>
    <t>時気䘌利候</t>
  </si>
  <si>
    <t>07-030（巻09）</t>
  </si>
  <si>
    <t>時気大便不通候</t>
  </si>
  <si>
    <t>07-031（巻09）</t>
  </si>
  <si>
    <t>時気小便不通候</t>
  </si>
  <si>
    <t>07-032（巻09）</t>
  </si>
  <si>
    <t>時気陰陽毒候</t>
  </si>
  <si>
    <t>07-033（巻09）</t>
  </si>
  <si>
    <t>時気変成黄候</t>
  </si>
  <si>
    <t>07-034（巻09）</t>
  </si>
  <si>
    <t>時気変成瘧候</t>
  </si>
  <si>
    <t>07-035（巻09）</t>
  </si>
  <si>
    <t>時気敗候</t>
  </si>
  <si>
    <t>07-036（巻09）</t>
  </si>
  <si>
    <t>時気労復候</t>
  </si>
  <si>
    <t>07-037（巻09）</t>
  </si>
  <si>
    <t>時気食復候</t>
  </si>
  <si>
    <t>07-038（巻09）</t>
  </si>
  <si>
    <t>時気病差後交接労復候</t>
  </si>
  <si>
    <t>07-039（巻09）</t>
  </si>
  <si>
    <t>時気病後陰陽易候</t>
  </si>
  <si>
    <t>07-040（巻09）</t>
  </si>
  <si>
    <t>時気病後虚羸候</t>
  </si>
  <si>
    <t>07-041（巻09）</t>
  </si>
  <si>
    <t>時気陰茎腫候</t>
  </si>
  <si>
    <t>07-042（巻09）</t>
  </si>
  <si>
    <t>時気令不相染易候</t>
  </si>
  <si>
    <t>07-043（巻09）</t>
  </si>
  <si>
    <t>熱病候</t>
  </si>
  <si>
    <t>08-001（巻09）</t>
  </si>
  <si>
    <t>熱病一日候</t>
  </si>
  <si>
    <t>08-002（巻09）</t>
  </si>
  <si>
    <t>熱病二日候</t>
  </si>
  <si>
    <t>08-003（巻09）</t>
  </si>
  <si>
    <t>熱病三日候</t>
  </si>
  <si>
    <t>08-004（巻09）</t>
  </si>
  <si>
    <t>熱病四日候</t>
  </si>
  <si>
    <t>08-005（巻09）</t>
  </si>
  <si>
    <t>熱病五日候</t>
  </si>
  <si>
    <t>08-006（巻09）</t>
  </si>
  <si>
    <t>熱病七日候</t>
  </si>
  <si>
    <t>08-008（巻09）</t>
  </si>
  <si>
    <t>熱病八九日已上候</t>
  </si>
  <si>
    <t>08-009（巻09）</t>
  </si>
  <si>
    <t>熱病解肌発汗候</t>
  </si>
  <si>
    <t>08-010（巻09）</t>
  </si>
  <si>
    <t>熱病煩候</t>
  </si>
  <si>
    <t>08-011（巻09）</t>
  </si>
  <si>
    <t>熱病皰瘡候</t>
  </si>
  <si>
    <t>08-012（巻09）</t>
  </si>
  <si>
    <t>熱病斑瘡候</t>
  </si>
  <si>
    <t>08-013（巻09）</t>
  </si>
  <si>
    <t>熱病熱瘡候</t>
  </si>
  <si>
    <t>08-014（巻09）</t>
  </si>
  <si>
    <t>熱病口瘡候</t>
  </si>
  <si>
    <t>08-015（巻09）</t>
  </si>
  <si>
    <t>熱病咽喉瘡候</t>
  </si>
  <si>
    <t>08-016（巻09）</t>
  </si>
  <si>
    <t>熱病大便不通候</t>
  </si>
  <si>
    <t>08-017（巻09）</t>
  </si>
  <si>
    <t>熱病小便不通候</t>
  </si>
  <si>
    <t>08-018（巻09）</t>
  </si>
  <si>
    <t>熱病下利候</t>
  </si>
  <si>
    <t>08-019（巻09）</t>
  </si>
  <si>
    <t>熱病䘌候</t>
  </si>
  <si>
    <t>08-020（巻09）</t>
  </si>
  <si>
    <t>熱病毒攻眼候</t>
  </si>
  <si>
    <t>08-021（巻09）</t>
  </si>
  <si>
    <t>熱病毒攻手足候</t>
  </si>
  <si>
    <t>08-022（巻09）</t>
  </si>
  <si>
    <t>熱病嘔候</t>
  </si>
  <si>
    <t>08-023（巻09）</t>
  </si>
  <si>
    <t>熱病噦候</t>
  </si>
  <si>
    <t>08-024（巻09）</t>
  </si>
  <si>
    <t>熱病口乾候</t>
  </si>
  <si>
    <t>08-025（巻09）</t>
  </si>
  <si>
    <t>熱病衄候</t>
  </si>
  <si>
    <t>08-026（巻09）</t>
  </si>
  <si>
    <t>熱病労復候</t>
  </si>
  <si>
    <t>08-027（巻09）</t>
  </si>
  <si>
    <t>熱病後沈滞候</t>
  </si>
  <si>
    <t>08-028（巻09）</t>
  </si>
  <si>
    <t>温病候</t>
  </si>
  <si>
    <t>09-001（巻10）</t>
  </si>
  <si>
    <t>温病一日候</t>
  </si>
  <si>
    <t>09-002（巻10）</t>
  </si>
  <si>
    <t>温病二日候</t>
  </si>
  <si>
    <t>09-003（巻10）</t>
  </si>
  <si>
    <t>温病三日候</t>
  </si>
  <si>
    <t>09-004（巻10）</t>
  </si>
  <si>
    <t>温病四日候</t>
  </si>
  <si>
    <t>09-005（巻10）</t>
  </si>
  <si>
    <t>温病五日候</t>
  </si>
  <si>
    <t>09-006（巻10）</t>
  </si>
  <si>
    <t>温病六日候</t>
  </si>
  <si>
    <t>09-007（巻10）</t>
  </si>
  <si>
    <t>温病七日候</t>
  </si>
  <si>
    <t>09-008（巻10）</t>
  </si>
  <si>
    <t>温病八日候</t>
  </si>
  <si>
    <t>09-009（巻10）</t>
  </si>
  <si>
    <t>温病九日已上候</t>
  </si>
  <si>
    <t>09-010（巻10）</t>
  </si>
  <si>
    <t>温病発班候</t>
  </si>
  <si>
    <t>09-011（巻10）</t>
  </si>
  <si>
    <t>温病煩候</t>
  </si>
  <si>
    <t>09-012（巻10）</t>
  </si>
  <si>
    <t>温病狂言候</t>
  </si>
  <si>
    <t>09-013（巻10）</t>
  </si>
  <si>
    <t>温病嗽候</t>
  </si>
  <si>
    <t>09-014（巻10）</t>
  </si>
  <si>
    <t>温病嘔候</t>
  </si>
  <si>
    <t>09-015（巻10）</t>
  </si>
  <si>
    <t>温病噦候</t>
  </si>
  <si>
    <t>09-016（巻10）</t>
  </si>
  <si>
    <t>温病渇候</t>
  </si>
  <si>
    <t>09-017（巻10）</t>
  </si>
  <si>
    <t>温病取吐候</t>
  </si>
  <si>
    <t>09-018（巻10）</t>
  </si>
  <si>
    <t>温病変成黄候</t>
  </si>
  <si>
    <t>09-019（巻10）</t>
  </si>
  <si>
    <t>温病咽喉痛候</t>
  </si>
  <si>
    <t>09-020（巻10）</t>
  </si>
  <si>
    <t>温病毒攻眼候</t>
  </si>
  <si>
    <t>09-021（巻10）</t>
  </si>
  <si>
    <t>温病衄候</t>
  </si>
  <si>
    <t>09-022（巻10）</t>
  </si>
  <si>
    <t>温病吐血候</t>
  </si>
  <si>
    <t>09-023（巻10）</t>
  </si>
  <si>
    <t>温病下利候</t>
  </si>
  <si>
    <t>09-024（巻10）</t>
  </si>
  <si>
    <t>温病膿血利候</t>
  </si>
  <si>
    <t>09-025（巻10）</t>
  </si>
  <si>
    <t>温病大便不通候</t>
  </si>
  <si>
    <t>09-026（巻10）</t>
  </si>
  <si>
    <t>温病小便不通候</t>
  </si>
  <si>
    <t>09-027（巻10）</t>
  </si>
  <si>
    <t>温病下部瘡候</t>
  </si>
  <si>
    <t>09-028（巻10）</t>
  </si>
  <si>
    <t>温病労復候</t>
  </si>
  <si>
    <t>09-029（巻10）</t>
  </si>
  <si>
    <t>温病食復候</t>
  </si>
  <si>
    <t>09-030（巻10）</t>
  </si>
  <si>
    <t>温病陰陽易候</t>
  </si>
  <si>
    <t>09-031（巻10）</t>
  </si>
  <si>
    <t>温病交接労復候</t>
  </si>
  <si>
    <t>09-032（巻10）</t>
  </si>
  <si>
    <t>温病差後諸病候</t>
  </si>
  <si>
    <t>09-033（巻10）</t>
  </si>
  <si>
    <t>温病令人不相染易候</t>
  </si>
  <si>
    <t>09-034（巻10）</t>
  </si>
  <si>
    <t>疫癘病候</t>
  </si>
  <si>
    <t>10-001（巻10）</t>
  </si>
  <si>
    <t>疫癘皰瘡候</t>
  </si>
  <si>
    <t>10-002（巻10）</t>
  </si>
  <si>
    <t>瘴気候</t>
  </si>
  <si>
    <t>10-003（巻10）</t>
  </si>
  <si>
    <t>瘧病候</t>
  </si>
  <si>
    <t>11-001（巻11）</t>
  </si>
  <si>
    <t>温瘧候</t>
  </si>
  <si>
    <t>11-002（巻11）</t>
  </si>
  <si>
    <t>痎瘧候</t>
  </si>
  <si>
    <t>11-003（巻11）</t>
  </si>
  <si>
    <t>間日瘧候</t>
  </si>
  <si>
    <t>11-004（巻11）</t>
  </si>
  <si>
    <t>風瘧候</t>
  </si>
  <si>
    <t>11-005（巻11）</t>
  </si>
  <si>
    <t>癉瘧候</t>
  </si>
  <si>
    <t>11-006（巻11）</t>
  </si>
  <si>
    <t>山瘴瘧候</t>
  </si>
  <si>
    <t>11-007（巻11）</t>
  </si>
  <si>
    <t>痰実瘧候</t>
  </si>
  <si>
    <t>11-008（巻11）</t>
  </si>
  <si>
    <t>寒熱瘧候</t>
  </si>
  <si>
    <t>11-009（巻11）</t>
  </si>
  <si>
    <t>往来寒熱瘧候</t>
  </si>
  <si>
    <t>11-010（巻11）</t>
  </si>
  <si>
    <t>寒瘧候</t>
  </si>
  <si>
    <t>11-011（巻11）</t>
  </si>
  <si>
    <t>労瘧候</t>
  </si>
  <si>
    <t>11-012（巻11）</t>
  </si>
  <si>
    <t>発作無時瘧候</t>
  </si>
  <si>
    <t>11-013（巻11）</t>
  </si>
  <si>
    <t>久瘧候</t>
  </si>
  <si>
    <t>11-014（巻11）</t>
  </si>
  <si>
    <t>黄病候</t>
  </si>
  <si>
    <t>12-001（巻12）</t>
  </si>
  <si>
    <t>急黄候</t>
  </si>
  <si>
    <t>12-002（巻12）</t>
  </si>
  <si>
    <t>黄汗候</t>
  </si>
  <si>
    <t>12-003（巻12）</t>
  </si>
  <si>
    <t>犯黄候</t>
  </si>
  <si>
    <t>12-004（巻12）</t>
  </si>
  <si>
    <t>労黄候</t>
  </si>
  <si>
    <t>12-005（巻12）</t>
  </si>
  <si>
    <t>脳黄候</t>
  </si>
  <si>
    <t>12-006（巻12）</t>
  </si>
  <si>
    <t>陰黄候</t>
  </si>
  <si>
    <t>12-007（巻12）</t>
  </si>
  <si>
    <t>内黄候</t>
  </si>
  <si>
    <t>12-008（巻12）</t>
  </si>
  <si>
    <t>行黄候</t>
  </si>
  <si>
    <t>12-009（巻12）</t>
  </si>
  <si>
    <t>癖黄候</t>
  </si>
  <si>
    <t>12-010（巻12）</t>
  </si>
  <si>
    <t>噤黄候</t>
  </si>
  <si>
    <t>12-011（巻12）</t>
  </si>
  <si>
    <t>五色黄候</t>
  </si>
  <si>
    <t>12-012（巻12）</t>
  </si>
  <si>
    <t>風黄候</t>
  </si>
  <si>
    <t>12-013（巻12）</t>
  </si>
  <si>
    <t>因黄発血候</t>
  </si>
  <si>
    <t>12-014（巻12）</t>
  </si>
  <si>
    <t>因黄発痢候</t>
  </si>
  <si>
    <t>12-015（巻12）</t>
  </si>
  <si>
    <t>因黄発痔候</t>
  </si>
  <si>
    <t>12-016（巻12）</t>
  </si>
  <si>
    <t>因黄発癖候</t>
  </si>
  <si>
    <t>12-017（巻12）</t>
  </si>
  <si>
    <t>因黄発病後小便渋兼石淋候</t>
  </si>
  <si>
    <t>12-018（巻12）</t>
  </si>
  <si>
    <t>因黄発吐候</t>
  </si>
  <si>
    <t>12-019（巻12）</t>
  </si>
  <si>
    <t>黄疸候</t>
  </si>
  <si>
    <t>12-020（巻12）</t>
  </si>
  <si>
    <t>酒疸候</t>
  </si>
  <si>
    <t>12-021（巻12）</t>
  </si>
  <si>
    <t>穀疸候</t>
  </si>
  <si>
    <t>12-022（巻12）</t>
  </si>
  <si>
    <t>女労疸候</t>
  </si>
  <si>
    <t>12-023（巻12）</t>
  </si>
  <si>
    <t>黒疸候</t>
  </si>
  <si>
    <t>12-024（巻12）</t>
  </si>
  <si>
    <t>九疸候</t>
  </si>
  <si>
    <t>12-025（巻12）</t>
  </si>
  <si>
    <t>胞疸候</t>
  </si>
  <si>
    <t>12-026（巻12）</t>
  </si>
  <si>
    <t>風黄疸候</t>
  </si>
  <si>
    <t>12-027（巻12）</t>
  </si>
  <si>
    <t>湿疸候</t>
  </si>
  <si>
    <t>12-028（巻12）</t>
  </si>
  <si>
    <t>病熱候</t>
  </si>
  <si>
    <t>13-001（巻12）</t>
  </si>
  <si>
    <t>客熱候</t>
  </si>
  <si>
    <t>13-002（巻12）</t>
  </si>
  <si>
    <t>冷熱候</t>
  </si>
  <si>
    <t>13-003（巻12）</t>
  </si>
  <si>
    <t>寒熱候</t>
  </si>
  <si>
    <t>13-004（巻12）</t>
  </si>
  <si>
    <t>寒熱往来候</t>
  </si>
  <si>
    <t>13-005（巻12）</t>
  </si>
  <si>
    <t>冷熱不調候</t>
  </si>
  <si>
    <t>13-006（巻12）</t>
  </si>
  <si>
    <t>寒熱厥候</t>
  </si>
  <si>
    <t>13-007（巻12）</t>
  </si>
  <si>
    <t>上気候</t>
  </si>
  <si>
    <t>14-001（巻13）</t>
  </si>
  <si>
    <t>卒上気候</t>
  </si>
  <si>
    <t>14-002（巻13）</t>
  </si>
  <si>
    <t>上気鳴息候</t>
  </si>
  <si>
    <t>14-003（巻13）</t>
  </si>
  <si>
    <t>上気喉中如水雞鳴候</t>
  </si>
  <si>
    <t>14-004（巻13）</t>
  </si>
  <si>
    <t>奔気候</t>
  </si>
  <si>
    <t>14-005（巻13）</t>
  </si>
  <si>
    <t>賁豚気候</t>
  </si>
  <si>
    <t>14-006（巻13）</t>
  </si>
  <si>
    <t>上気嘔吐候</t>
  </si>
  <si>
    <t>14-007（巻13）</t>
  </si>
  <si>
    <t>上気腫候</t>
  </si>
  <si>
    <t>14-008（巻13）</t>
  </si>
  <si>
    <t>結気候</t>
  </si>
  <si>
    <t>14-009（巻13）</t>
  </si>
  <si>
    <t>冷気候</t>
  </si>
  <si>
    <t>14-010（巻13）</t>
  </si>
  <si>
    <t>七気候</t>
  </si>
  <si>
    <t>14-011（巻13）</t>
  </si>
  <si>
    <t>九気候</t>
  </si>
  <si>
    <t>14-012（巻13）</t>
  </si>
  <si>
    <t>短気候</t>
  </si>
  <si>
    <t>14-013（巻13）</t>
  </si>
  <si>
    <t>五鬲気候</t>
  </si>
  <si>
    <t>14-014（巻13）</t>
  </si>
  <si>
    <t>逆気候</t>
  </si>
  <si>
    <t>14-015（巻13）</t>
  </si>
  <si>
    <t>厥逆気候</t>
  </si>
  <si>
    <t>14-016（巻13）</t>
  </si>
  <si>
    <t>少気候</t>
  </si>
  <si>
    <t>14-017（巻13）</t>
  </si>
  <si>
    <t>遊気候</t>
  </si>
  <si>
    <t>14-018（巻13）</t>
  </si>
  <si>
    <t>胸脇支満候</t>
  </si>
  <si>
    <t>14-019（巻13）</t>
  </si>
  <si>
    <t>上気胸脇支満候</t>
  </si>
  <si>
    <t>14-020（巻13）</t>
  </si>
  <si>
    <t>久寒胸脇支満候</t>
  </si>
  <si>
    <t>14-021（巻13）</t>
  </si>
  <si>
    <t>乏気候</t>
  </si>
  <si>
    <t>14-022（巻13）</t>
  </si>
  <si>
    <t>走馬奔走及人走乏飲水得上気候</t>
  </si>
  <si>
    <t>14-023（巻13）</t>
  </si>
  <si>
    <t>食熱餅触熱飲水発気候</t>
  </si>
  <si>
    <t>14-024（巻13）</t>
  </si>
  <si>
    <t>気分候</t>
  </si>
  <si>
    <t>14-025（巻13）</t>
  </si>
  <si>
    <t>脚気緩弱候</t>
  </si>
  <si>
    <t>15-001（巻13）</t>
  </si>
  <si>
    <t>脚気上気候</t>
  </si>
  <si>
    <t>15-002（巻13）</t>
  </si>
  <si>
    <t>脚気痺弱候</t>
  </si>
  <si>
    <t>15-003（巻13）</t>
  </si>
  <si>
    <t>脚気疼不仁候</t>
  </si>
  <si>
    <t>15-004（巻13）</t>
  </si>
  <si>
    <t>脚気痺攣候</t>
  </si>
  <si>
    <t>15-005（巻13）</t>
  </si>
  <si>
    <t>脚気心腹脹急候</t>
  </si>
  <si>
    <t>15-006（巻13）</t>
  </si>
  <si>
    <t>脚気腫満候</t>
  </si>
  <si>
    <t>15-007（巻13）</t>
  </si>
  <si>
    <t>脚気風経五蔵驚悸候</t>
  </si>
  <si>
    <t>15-008（巻13）</t>
  </si>
  <si>
    <t>咳嗽候</t>
  </si>
  <si>
    <t>16-001（巻14）</t>
  </si>
  <si>
    <t>久咳嗽候</t>
  </si>
  <si>
    <t>16-002（巻14）</t>
  </si>
  <si>
    <t>咳嗽短気候</t>
  </si>
  <si>
    <t>16-003（巻14）</t>
  </si>
  <si>
    <t>咳嗽上気候</t>
  </si>
  <si>
    <t>16-004（巻14）</t>
  </si>
  <si>
    <t>久咳嗽上気候</t>
  </si>
  <si>
    <t>16-005（巻14）</t>
  </si>
  <si>
    <t>咳嗽膿血候</t>
  </si>
  <si>
    <t>16-006（巻14）</t>
  </si>
  <si>
    <t>久咳嗽膿血候</t>
  </si>
  <si>
    <t>16-007（巻14）</t>
  </si>
  <si>
    <t>呷嗽候</t>
  </si>
  <si>
    <t>16-008（巻14）</t>
  </si>
  <si>
    <t>暴気咳嗽候</t>
  </si>
  <si>
    <t>16-009（巻14）</t>
  </si>
  <si>
    <t>咳逆候</t>
  </si>
  <si>
    <t>16-010（巻14）</t>
  </si>
  <si>
    <t>久咳逆候</t>
  </si>
  <si>
    <t>16-011（巻14）</t>
  </si>
  <si>
    <t>咳逆上気候</t>
  </si>
  <si>
    <t>16-012（巻14）</t>
  </si>
  <si>
    <t>久咳逆上気候</t>
  </si>
  <si>
    <t>16-013（巻14）</t>
  </si>
  <si>
    <t>咳逆上気嘔吐候</t>
  </si>
  <si>
    <t>16-014（巻14）</t>
  </si>
  <si>
    <t>咳逆短気候</t>
  </si>
  <si>
    <t>16-015（巻14）</t>
  </si>
  <si>
    <t>諸淋候</t>
  </si>
  <si>
    <t>17-001（巻14）</t>
  </si>
  <si>
    <t>石淋候</t>
  </si>
  <si>
    <t>17-002（巻14）</t>
  </si>
  <si>
    <t>気淋候</t>
  </si>
  <si>
    <t>17-003（巻14）</t>
  </si>
  <si>
    <t>膏淋候</t>
  </si>
  <si>
    <t>17-004（巻14）</t>
  </si>
  <si>
    <t>労淋候</t>
  </si>
  <si>
    <t>17-005（巻14）</t>
  </si>
  <si>
    <t>熱淋候</t>
  </si>
  <si>
    <t>17-006（巻14）</t>
  </si>
  <si>
    <t>血淋候</t>
  </si>
  <si>
    <t>17-007（巻14）</t>
  </si>
  <si>
    <t>寒淋候</t>
  </si>
  <si>
    <t>17-008（巻14）</t>
  </si>
  <si>
    <t>小便利多候</t>
  </si>
  <si>
    <t>18-001（巻14）</t>
  </si>
  <si>
    <t>小便数候</t>
  </si>
  <si>
    <t>18-002（巻14）</t>
  </si>
  <si>
    <t>小便不禁候</t>
  </si>
  <si>
    <t>18-003（巻14）</t>
  </si>
  <si>
    <t>小便不通候</t>
  </si>
  <si>
    <t>18-004（巻14）</t>
  </si>
  <si>
    <t>小便難候</t>
  </si>
  <si>
    <t>18-005（巻14）</t>
  </si>
  <si>
    <t>遺尿候</t>
  </si>
  <si>
    <t>18-006（巻14）</t>
  </si>
  <si>
    <t>尿床候</t>
  </si>
  <si>
    <t>18-007（巻14）</t>
  </si>
  <si>
    <t>胞転候</t>
  </si>
  <si>
    <t>18-008（巻14）</t>
  </si>
  <si>
    <t>大便難候</t>
  </si>
  <si>
    <t>19-001（巻14）</t>
  </si>
  <si>
    <t>大便不通候</t>
  </si>
  <si>
    <t>19-002（巻14）</t>
  </si>
  <si>
    <t>大便失禁候</t>
  </si>
  <si>
    <t>19-003（巻14）</t>
  </si>
  <si>
    <t>関格大小便不通候</t>
  </si>
  <si>
    <t>19-004（巻14）</t>
  </si>
  <si>
    <t>大小便難候</t>
  </si>
  <si>
    <t>19-005（巻14）</t>
  </si>
  <si>
    <t>肝病候</t>
  </si>
  <si>
    <t>20-001（巻15）</t>
  </si>
  <si>
    <t>心病候</t>
  </si>
  <si>
    <t>20-002（巻15）</t>
  </si>
  <si>
    <t>脾病候</t>
  </si>
  <si>
    <t>20-003（巻15）</t>
  </si>
  <si>
    <t>肺病候</t>
  </si>
  <si>
    <t>20-004（巻15）</t>
  </si>
  <si>
    <t>腎病候</t>
  </si>
  <si>
    <t>20-005（巻15）</t>
  </si>
  <si>
    <t>胆病候</t>
  </si>
  <si>
    <t>20-006（巻15）</t>
  </si>
  <si>
    <t>小腸病候</t>
  </si>
  <si>
    <t>20-007（巻15）</t>
  </si>
  <si>
    <t>胃病候</t>
  </si>
  <si>
    <t>20-008（巻15）</t>
  </si>
  <si>
    <t>大腸病候</t>
  </si>
  <si>
    <t>20-009（巻15）</t>
  </si>
  <si>
    <t>膀胱病候</t>
  </si>
  <si>
    <t>20-010（巻15）</t>
  </si>
  <si>
    <t>三焦病候</t>
  </si>
  <si>
    <t>20-011（巻15）</t>
  </si>
  <si>
    <t>五蔵横病候</t>
  </si>
  <si>
    <t>20-012（巻15）</t>
  </si>
  <si>
    <t>脾脹病候</t>
  </si>
  <si>
    <t>20-013（巻15）</t>
  </si>
  <si>
    <t>心痛候</t>
  </si>
  <si>
    <t>21-001（巻16）</t>
  </si>
  <si>
    <t>久心痛候</t>
  </si>
  <si>
    <t>21-002（巻16）</t>
  </si>
  <si>
    <t>心懸急懊痛候</t>
  </si>
  <si>
    <t>21-003（巻16）</t>
  </si>
  <si>
    <t>心痛多唾候</t>
  </si>
  <si>
    <t>21-004（巻16）</t>
  </si>
  <si>
    <t>心痛不能飲食候</t>
  </si>
  <si>
    <t>21-005（巻16）</t>
  </si>
  <si>
    <t>腹痛候</t>
  </si>
  <si>
    <t>22-001（巻16）</t>
  </si>
  <si>
    <t>久腹痛候</t>
  </si>
  <si>
    <t>22-002（巻16）</t>
  </si>
  <si>
    <t>腹脹候</t>
  </si>
  <si>
    <t>22-004（巻16）</t>
  </si>
  <si>
    <t>久腹脹候</t>
  </si>
  <si>
    <t>心腹痛候</t>
  </si>
  <si>
    <t>23-001（巻16）</t>
  </si>
  <si>
    <t>久心腹痛候</t>
  </si>
  <si>
    <t>23-002（巻16）</t>
  </si>
  <si>
    <t>心腹相引痛候</t>
  </si>
  <si>
    <t>23-003（巻16）</t>
  </si>
  <si>
    <t>心腹脹候</t>
  </si>
  <si>
    <t>23-004（巻16）</t>
  </si>
  <si>
    <t>久心腹脹候</t>
  </si>
  <si>
    <t>23-005（巻16）</t>
  </si>
  <si>
    <t>胸脇痛候</t>
  </si>
  <si>
    <t>23-006（巻16）</t>
  </si>
  <si>
    <t>卒苦煩満叉胸脇痛欲死候</t>
  </si>
  <si>
    <t>23-007（巻16）</t>
  </si>
  <si>
    <t>水穀痢候</t>
  </si>
  <si>
    <t>24-001（巻17）</t>
  </si>
  <si>
    <t>久水穀痢候</t>
  </si>
  <si>
    <t>24-002（巻17）</t>
  </si>
  <si>
    <t>赤白痢候</t>
  </si>
  <si>
    <t>24-003（巻17）</t>
  </si>
  <si>
    <t>久赤白痢候</t>
  </si>
  <si>
    <t>24-004（巻17）</t>
  </si>
  <si>
    <t>赤痢候</t>
  </si>
  <si>
    <t>24-005（巻17）</t>
  </si>
  <si>
    <t>久赤痢候</t>
  </si>
  <si>
    <t>24-006（巻17）</t>
  </si>
  <si>
    <t>血痢候</t>
  </si>
  <si>
    <t>24-007（巻17）</t>
  </si>
  <si>
    <t>久血痢候</t>
  </si>
  <si>
    <t>24-008（巻17）</t>
  </si>
  <si>
    <t>膿血痢候</t>
  </si>
  <si>
    <t>24-009（巻17）</t>
  </si>
  <si>
    <t>久膿血痢候</t>
  </si>
  <si>
    <t>24-010（巻17）</t>
  </si>
  <si>
    <t>冷痢候</t>
  </si>
  <si>
    <t>24-011（巻17）</t>
  </si>
  <si>
    <t>久冷痢候</t>
  </si>
  <si>
    <t>24-012（巻17）</t>
  </si>
  <si>
    <t>熱痢候</t>
  </si>
  <si>
    <t>24-013（巻17）</t>
  </si>
  <si>
    <t>久熱痢候</t>
  </si>
  <si>
    <t>24-014（巻17）</t>
  </si>
  <si>
    <t>冷熱痢候</t>
  </si>
  <si>
    <t>24-015（巻17）</t>
  </si>
  <si>
    <t>雑痢候</t>
  </si>
  <si>
    <t>24-016（巻17）</t>
  </si>
  <si>
    <t>休息痢候</t>
  </si>
  <si>
    <t>24-017（巻17）</t>
  </si>
  <si>
    <t>白滞痢候</t>
  </si>
  <si>
    <t>24-018（巻17）</t>
  </si>
  <si>
    <t>痢如膏候</t>
  </si>
  <si>
    <t>24-019（巻17）</t>
  </si>
  <si>
    <t>蠱注痢候</t>
  </si>
  <si>
    <t>24-020（巻17）</t>
  </si>
  <si>
    <t>腸蠱痢候</t>
  </si>
  <si>
    <t>24-021（巻17）</t>
  </si>
  <si>
    <t>下痢便腸垢候</t>
  </si>
  <si>
    <t>24-022（巻17）</t>
  </si>
  <si>
    <t>不伏水土痢候</t>
  </si>
  <si>
    <t>24-023（巻17）</t>
  </si>
  <si>
    <t>嘔逆吐痢候</t>
  </si>
  <si>
    <t>24-024（巻17）</t>
  </si>
  <si>
    <t>痢兼煩候</t>
  </si>
  <si>
    <t>24-025（巻17）</t>
  </si>
  <si>
    <t>痢兼渇候</t>
  </si>
  <si>
    <t>24-026（巻17）</t>
  </si>
  <si>
    <t>下痢口及腸内生瘡候</t>
  </si>
  <si>
    <t>24-027（巻17）</t>
  </si>
  <si>
    <t>痢兼腫候</t>
  </si>
  <si>
    <t>24-028（巻17）</t>
  </si>
  <si>
    <t>痢穀道腫痛候</t>
  </si>
  <si>
    <t>24-029（巻17）</t>
  </si>
  <si>
    <t>痢後虚煩候</t>
  </si>
  <si>
    <t>24-030（巻17）</t>
  </si>
  <si>
    <t>痢後腫候</t>
  </si>
  <si>
    <t>24-031（巻17）</t>
  </si>
  <si>
    <t>痢後不能食候</t>
  </si>
  <si>
    <t>24-032（巻17）</t>
  </si>
  <si>
    <t>痢後腹痛候</t>
  </si>
  <si>
    <t>24-033（巻17）</t>
  </si>
  <si>
    <t>痢後心下逆満候</t>
  </si>
  <si>
    <t>24-034（巻17）</t>
  </si>
  <si>
    <t>脱肛候</t>
  </si>
  <si>
    <t>24-035（巻17）</t>
  </si>
  <si>
    <t>大下後噦候</t>
  </si>
  <si>
    <t>24-036（巻17）</t>
  </si>
  <si>
    <t>穀道生瘡候</t>
  </si>
  <si>
    <t>24-037（巻17）</t>
  </si>
  <si>
    <t>穀道蟲候</t>
  </si>
  <si>
    <t>24-038（巻17）</t>
  </si>
  <si>
    <t>穀道癢侯</t>
  </si>
  <si>
    <t>24-039（巻17）</t>
  </si>
  <si>
    <t>穀道赤痛候</t>
  </si>
  <si>
    <t>24-040（巻17）</t>
  </si>
  <si>
    <t>湿䘌候</t>
  </si>
  <si>
    <t>25-001（巻18）</t>
  </si>
  <si>
    <t>心䘌候</t>
  </si>
  <si>
    <t>25-002（巻18）</t>
  </si>
  <si>
    <t>疳䘌候</t>
  </si>
  <si>
    <t>25-003（巻18）</t>
  </si>
  <si>
    <t>九蟲候</t>
  </si>
  <si>
    <t>26-001（巻18）</t>
  </si>
  <si>
    <t>三蟲候</t>
  </si>
  <si>
    <t>26-002（巻18）</t>
  </si>
  <si>
    <t>蚘蟲候</t>
  </si>
  <si>
    <t>26-003（巻18）</t>
  </si>
  <si>
    <t>寸白蟲候</t>
  </si>
  <si>
    <t>26-004（巻18）</t>
  </si>
  <si>
    <t>蟯蟲候</t>
  </si>
  <si>
    <t>26-005（巻18）</t>
  </si>
  <si>
    <t>積聚候</t>
  </si>
  <si>
    <t>27-001（巻19）</t>
  </si>
  <si>
    <t>積聚痼結候</t>
  </si>
  <si>
    <t>27-002（巻19）</t>
  </si>
  <si>
    <t>積聚心腹痛候</t>
  </si>
  <si>
    <t>27-003（巻19）</t>
  </si>
  <si>
    <t>積聚心腹脹満候</t>
  </si>
  <si>
    <t>27-004（巻19）</t>
  </si>
  <si>
    <t>積聚宿食候</t>
  </si>
  <si>
    <t>27-005（巻19）</t>
  </si>
  <si>
    <t>伏梁候</t>
  </si>
  <si>
    <t>27-006（巻19）</t>
  </si>
  <si>
    <t>癥候</t>
  </si>
  <si>
    <t>28-001（巻19）</t>
  </si>
  <si>
    <t>癥瘕候</t>
  </si>
  <si>
    <t>28-002（巻19）</t>
  </si>
  <si>
    <t>暴癥候</t>
  </si>
  <si>
    <t>28-003（巻19）</t>
  </si>
  <si>
    <t>鼈癥候</t>
  </si>
  <si>
    <t>28-004（巻19）</t>
  </si>
  <si>
    <t>虱癥候</t>
  </si>
  <si>
    <t>28-005（巻19）</t>
  </si>
  <si>
    <t>米癥候</t>
  </si>
  <si>
    <t>28-006（巻19）</t>
  </si>
  <si>
    <t>食癥候</t>
  </si>
  <si>
    <t>28-007（巻19）</t>
  </si>
  <si>
    <t>腹内有人声候</t>
  </si>
  <si>
    <t>28-008（巻19）</t>
  </si>
  <si>
    <t>髪癥候</t>
  </si>
  <si>
    <t>28-009（巻19）</t>
  </si>
  <si>
    <t>蛟龍病候</t>
  </si>
  <si>
    <t>28-010（巻19）</t>
  </si>
  <si>
    <t>瘕病候</t>
  </si>
  <si>
    <t>28-011（巻19）</t>
  </si>
  <si>
    <t>鼈瘕侯</t>
  </si>
  <si>
    <t>28-012（巻19）</t>
  </si>
  <si>
    <t>魚瘕候</t>
  </si>
  <si>
    <t>28-013（巻19）</t>
  </si>
  <si>
    <t>蛇瘕候</t>
  </si>
  <si>
    <t>28-014（巻19）</t>
  </si>
  <si>
    <t>肉瘕候</t>
  </si>
  <si>
    <t>28-015（巻19）</t>
  </si>
  <si>
    <t>酒瘕候</t>
  </si>
  <si>
    <t>28-016（巻19）</t>
  </si>
  <si>
    <t>穀瘕候</t>
  </si>
  <si>
    <t>28-017（巻19）</t>
  </si>
  <si>
    <t>腹内有毛候</t>
  </si>
  <si>
    <t>28-018（巻19）</t>
  </si>
  <si>
    <t>諸疝候</t>
  </si>
  <si>
    <t>29-001（巻20）</t>
  </si>
  <si>
    <t>寒疝候</t>
  </si>
  <si>
    <t>29-002（巻20）</t>
  </si>
  <si>
    <t>寒疝心痛候</t>
  </si>
  <si>
    <t>29-003（巻20）</t>
  </si>
  <si>
    <t>寒疝腹痛候</t>
  </si>
  <si>
    <t>29-004（巻20）</t>
  </si>
  <si>
    <t>寒疝心腹痛候</t>
  </si>
  <si>
    <t>29-005（巻20）</t>
  </si>
  <si>
    <t>寒疝積聚候</t>
  </si>
  <si>
    <t>29-006（巻20）</t>
  </si>
  <si>
    <t>七疝候</t>
  </si>
  <si>
    <t>29-007（巻20）</t>
  </si>
  <si>
    <t>五疝候</t>
  </si>
  <si>
    <t>29-008（巻20）</t>
  </si>
  <si>
    <t>心疝候</t>
  </si>
  <si>
    <t>29-009（巻20）</t>
  </si>
  <si>
    <t>飢疝候</t>
  </si>
  <si>
    <t>29-010（巻20）</t>
  </si>
  <si>
    <t>疝瘕候</t>
  </si>
  <si>
    <t>29-011（巻20）</t>
  </si>
  <si>
    <t>痰飲侯</t>
  </si>
  <si>
    <t>30-001（巻20）</t>
  </si>
  <si>
    <t>痰飲食不消候</t>
  </si>
  <si>
    <t>30-002（巻20）</t>
  </si>
  <si>
    <t>熱痰候</t>
  </si>
  <si>
    <t>30-003（巻20）</t>
  </si>
  <si>
    <t>冷痰候</t>
  </si>
  <si>
    <t>30-004（巻20）</t>
  </si>
  <si>
    <t>痰結実候</t>
  </si>
  <si>
    <t>30-005（巻20）</t>
  </si>
  <si>
    <t>鬲痰風厥頭痛候</t>
  </si>
  <si>
    <t>30-006（巻20）</t>
  </si>
  <si>
    <t>諸痰候</t>
  </si>
  <si>
    <t>30-007（巻20）</t>
  </si>
  <si>
    <t>流飲候</t>
  </si>
  <si>
    <t>30-008（巻20）</t>
  </si>
  <si>
    <t>流飲宿食候</t>
  </si>
  <si>
    <t>30-009（巻20）</t>
  </si>
  <si>
    <t>留飲候</t>
  </si>
  <si>
    <t>30-010（巻20）</t>
  </si>
  <si>
    <t>留飲宿食候</t>
  </si>
  <si>
    <t>30-011（巻20）</t>
  </si>
  <si>
    <t>癖飲候</t>
  </si>
  <si>
    <t>30-012（巻20）</t>
  </si>
  <si>
    <t>諸飲候</t>
  </si>
  <si>
    <t>30-013（巻20）</t>
  </si>
  <si>
    <t>支飲候</t>
  </si>
  <si>
    <t>30-014（巻20）</t>
  </si>
  <si>
    <t>溢飲俟</t>
  </si>
  <si>
    <t>30-015（巻20）</t>
  </si>
  <si>
    <t>懸飲候</t>
  </si>
  <si>
    <t>30-016（巻20）</t>
  </si>
  <si>
    <t>癖候</t>
  </si>
  <si>
    <t>31-001（巻20）</t>
  </si>
  <si>
    <t>久癖候</t>
  </si>
  <si>
    <t>31-002（巻20）</t>
  </si>
  <si>
    <t>癖結候</t>
  </si>
  <si>
    <t>31-003（巻20）</t>
  </si>
  <si>
    <t>癖食不消候</t>
  </si>
  <si>
    <t>31-004（巻20）</t>
  </si>
  <si>
    <t>寒癖候</t>
  </si>
  <si>
    <t>31-005（巻20）</t>
  </si>
  <si>
    <t>飲癖候</t>
  </si>
  <si>
    <t>31-006（巻20）</t>
  </si>
  <si>
    <t>痰癖候</t>
  </si>
  <si>
    <t>31-007（巻20）</t>
  </si>
  <si>
    <t>懸癖候</t>
  </si>
  <si>
    <t>31-008（巻20）</t>
  </si>
  <si>
    <t>酒癖候</t>
  </si>
  <si>
    <t>31-009（巻20）</t>
  </si>
  <si>
    <t>酒癖宿食不消候</t>
  </si>
  <si>
    <t>31-010（巻20）</t>
  </si>
  <si>
    <t>飲酒人瘀癖葅痰候</t>
  </si>
  <si>
    <t>31-011（巻20）</t>
  </si>
  <si>
    <t>八否候</t>
  </si>
  <si>
    <t>32-001（巻20）</t>
  </si>
  <si>
    <t>諸痞候</t>
  </si>
  <si>
    <t>32-002（巻20）</t>
  </si>
  <si>
    <t>噎候</t>
  </si>
  <si>
    <t>32-003（巻20）</t>
  </si>
  <si>
    <t>五噎候</t>
  </si>
  <si>
    <t>32-004（巻20）</t>
  </si>
  <si>
    <t>気噎候</t>
  </si>
  <si>
    <t>32-005（巻20）</t>
  </si>
  <si>
    <t>食噎候</t>
  </si>
  <si>
    <t>32-006（巻20）</t>
  </si>
  <si>
    <t>久寒積冷候</t>
  </si>
  <si>
    <t>32-007（巻20）</t>
  </si>
  <si>
    <t>腹内結強候，</t>
  </si>
  <si>
    <t>32-008（巻20）</t>
  </si>
  <si>
    <t>脾胃気虚弱不能飲食候</t>
  </si>
  <si>
    <t>33-001（巻21）</t>
  </si>
  <si>
    <t>脾胃気不和不能飲食候</t>
  </si>
  <si>
    <t>33-002（巻21）</t>
  </si>
  <si>
    <t>胃反候</t>
  </si>
  <si>
    <t>33-003（巻21）</t>
  </si>
  <si>
    <t>五蔵及身体熱候</t>
  </si>
  <si>
    <t>33-004（巻21）</t>
  </si>
  <si>
    <t>肺萎候</t>
  </si>
  <si>
    <t>33-005（巻21）</t>
  </si>
  <si>
    <t>乾嘔候</t>
  </si>
  <si>
    <t>34-001（巻21）</t>
  </si>
  <si>
    <t>嘔噦候</t>
  </si>
  <si>
    <t>34-002（巻21）</t>
  </si>
  <si>
    <t>噦候</t>
  </si>
  <si>
    <t>34-003（巻21）</t>
  </si>
  <si>
    <t>嘔吐候</t>
  </si>
  <si>
    <t>34-004（巻21）</t>
  </si>
  <si>
    <t>噫酢候</t>
  </si>
  <si>
    <t>34-005（巻21）</t>
  </si>
  <si>
    <t>悪心候</t>
  </si>
  <si>
    <t>34-006（巻21）</t>
  </si>
  <si>
    <t>宿食不消候</t>
  </si>
  <si>
    <t>35-001（巻21）</t>
  </si>
  <si>
    <t>食傷飽候</t>
  </si>
  <si>
    <t>35-002（巻21）</t>
  </si>
  <si>
    <t>穀労候</t>
  </si>
  <si>
    <t>35-003（巻21）</t>
  </si>
  <si>
    <t>卒食病似傷寒候</t>
  </si>
  <si>
    <t>35-004（巻21）</t>
  </si>
  <si>
    <t>水腫候</t>
  </si>
  <si>
    <t>36-001（巻21）</t>
  </si>
  <si>
    <t>水通身腫候</t>
  </si>
  <si>
    <t>36-002（巻21）</t>
  </si>
  <si>
    <t>風水候</t>
  </si>
  <si>
    <t>36-003（巻21）</t>
  </si>
  <si>
    <t>十水候</t>
  </si>
  <si>
    <t>36-004（巻21）</t>
  </si>
  <si>
    <t>大腹水腫候</t>
  </si>
  <si>
    <t>36-005（巻21）</t>
  </si>
  <si>
    <t>身面卒洪腫候</t>
  </si>
  <si>
    <t>36-006（巻21）</t>
  </si>
  <si>
    <t>石水候</t>
  </si>
  <si>
    <t>36-007（巻21）</t>
  </si>
  <si>
    <t>皮水候</t>
  </si>
  <si>
    <t>36-008（巻21）</t>
  </si>
  <si>
    <t>水腫欬逆上気候</t>
  </si>
  <si>
    <t>36-009（巻21）</t>
  </si>
  <si>
    <t>水腫従脚起候</t>
  </si>
  <si>
    <t>36-010（巻21）</t>
  </si>
  <si>
    <t>水分候</t>
  </si>
  <si>
    <t>36-011（巻21）</t>
  </si>
  <si>
    <t>毛水候</t>
  </si>
  <si>
    <t>36-012（巻21）</t>
  </si>
  <si>
    <t>疸水候</t>
  </si>
  <si>
    <t>36-013（巻21）</t>
  </si>
  <si>
    <t>燥水候</t>
  </si>
  <si>
    <t>36-014（巻21）</t>
  </si>
  <si>
    <t>湿水候</t>
  </si>
  <si>
    <t>36-015（巻21）</t>
  </si>
  <si>
    <t>犯土腫候</t>
  </si>
  <si>
    <t>36-016（巻21）</t>
  </si>
  <si>
    <t>不伏水土候</t>
  </si>
  <si>
    <t>36-017（巻21）</t>
  </si>
  <si>
    <t>二十四水候</t>
  </si>
  <si>
    <t>36-018（巻21）</t>
  </si>
  <si>
    <t>水癥候</t>
  </si>
  <si>
    <t>36-019（巻21）</t>
  </si>
  <si>
    <t>水瘕候</t>
  </si>
  <si>
    <t>36-020（巻21）</t>
  </si>
  <si>
    <t>水蠱候</t>
  </si>
  <si>
    <t>36-021（巻21）</t>
  </si>
  <si>
    <t>水癖候</t>
  </si>
  <si>
    <t>36-022（巻21）</t>
  </si>
  <si>
    <t>霍乱候</t>
  </si>
  <si>
    <t>37-001（巻22）</t>
  </si>
  <si>
    <t>霍乱心腹痛候</t>
  </si>
  <si>
    <t>37-002（巻22）</t>
  </si>
  <si>
    <t>霍乱嘔吐候</t>
  </si>
  <si>
    <t>37-003（巻22）</t>
  </si>
  <si>
    <t>霍乱心腹脹満候</t>
  </si>
  <si>
    <t>37-004（巻22）</t>
  </si>
  <si>
    <t>霍乱下利候</t>
  </si>
  <si>
    <t>37-005（巻22）</t>
  </si>
  <si>
    <t>霍乱下利不止候</t>
  </si>
  <si>
    <t>37-006（巻22）</t>
  </si>
  <si>
    <t>霍乱欲死候</t>
  </si>
  <si>
    <t>37-007（巻22）</t>
  </si>
  <si>
    <t>霍乱嘔噦候</t>
  </si>
  <si>
    <t>37-008（巻22）</t>
  </si>
  <si>
    <t>霍乱煩渇候</t>
  </si>
  <si>
    <t>37-009（巻22）</t>
  </si>
  <si>
    <t>霍乱心煩候</t>
  </si>
  <si>
    <t>37-010（巻22）</t>
  </si>
  <si>
    <t>霍乱乾嘔候</t>
  </si>
  <si>
    <t>37-011（巻22）</t>
  </si>
  <si>
    <t>霍乱心腹築悸候</t>
  </si>
  <si>
    <t>37-012（巻22）</t>
  </si>
  <si>
    <t>霍乱嘔而煩候</t>
  </si>
  <si>
    <t>37-013（巻22）</t>
  </si>
  <si>
    <t>乾霍乱候</t>
  </si>
  <si>
    <t>37-014（巻22）</t>
  </si>
  <si>
    <t>霍乱四逆候</t>
  </si>
  <si>
    <t>37-015（巻22）</t>
  </si>
  <si>
    <t>霍乱転筋候</t>
  </si>
  <si>
    <t>37-016（巻22）</t>
  </si>
  <si>
    <t>中悪霍乱候</t>
  </si>
  <si>
    <t>37-017（巻22）</t>
  </si>
  <si>
    <t>霍乱諸病候</t>
  </si>
  <si>
    <t>37-018（巻22）</t>
  </si>
  <si>
    <t>霍乱後諸病候</t>
  </si>
  <si>
    <t>37-019（巻22）</t>
  </si>
  <si>
    <t>霍乱後煩躁臥不安候</t>
  </si>
  <si>
    <t>37-020（巻22）</t>
  </si>
  <si>
    <t>霍乱後不除候</t>
  </si>
  <si>
    <t>37-021（巻22）</t>
  </si>
  <si>
    <t>転筋候</t>
  </si>
  <si>
    <t>37-022（巻22）</t>
  </si>
  <si>
    <t>筋急候</t>
  </si>
  <si>
    <t>37-023（巻22）</t>
  </si>
  <si>
    <t>結筋候</t>
  </si>
  <si>
    <t>37-024（巻22）</t>
  </si>
  <si>
    <t>中悪候</t>
  </si>
  <si>
    <t>38-001（巻23）</t>
  </si>
  <si>
    <t>中悪死候</t>
  </si>
  <si>
    <t>38-002（巻23）</t>
  </si>
  <si>
    <t>尸厥候</t>
  </si>
  <si>
    <t>38-003（巻23）</t>
  </si>
  <si>
    <t>卒死候</t>
  </si>
  <si>
    <t>38-004（巻23）</t>
  </si>
  <si>
    <t>卒忤候</t>
  </si>
  <si>
    <t>38-005（巻23）</t>
  </si>
  <si>
    <t>卒忤死候</t>
  </si>
  <si>
    <t>38-006（巻23）</t>
  </si>
  <si>
    <t>鬼擊候</t>
  </si>
  <si>
    <t>38-007（巻23）</t>
  </si>
  <si>
    <t>卒魘候</t>
  </si>
  <si>
    <t>38-008（巻23）</t>
  </si>
  <si>
    <t>魘不寤候</t>
  </si>
  <si>
    <t>38-009（巻23）</t>
  </si>
  <si>
    <t>自縊死候</t>
  </si>
  <si>
    <t>38-010（巻23）</t>
  </si>
  <si>
    <t>溺死候</t>
  </si>
  <si>
    <t>38-011（巻23）</t>
  </si>
  <si>
    <t>中熱暍候</t>
  </si>
  <si>
    <t>38-012（巻23）</t>
  </si>
  <si>
    <t>冒熱困乏候</t>
  </si>
  <si>
    <t>38-013（巻23）</t>
  </si>
  <si>
    <t>凍死候</t>
  </si>
  <si>
    <t>38-014（巻23）</t>
  </si>
  <si>
    <t>諸尸候</t>
  </si>
  <si>
    <t>39-001（巻23）</t>
  </si>
  <si>
    <t>飛尸候</t>
  </si>
  <si>
    <t>39-002（巻23）</t>
  </si>
  <si>
    <t>遁尸候</t>
  </si>
  <si>
    <t>39-003（巻23）</t>
  </si>
  <si>
    <t>風尸候</t>
  </si>
  <si>
    <t>39-005（巻23）</t>
  </si>
  <si>
    <t>尸注候</t>
  </si>
  <si>
    <t>39-006（巻23）</t>
  </si>
  <si>
    <t>伏尸候</t>
  </si>
  <si>
    <t>39-007（巻23）</t>
  </si>
  <si>
    <t>陰尸候</t>
  </si>
  <si>
    <t>39-008（巻23）</t>
  </si>
  <si>
    <t>冷尸候</t>
  </si>
  <si>
    <t>39-009（巻23）</t>
  </si>
  <si>
    <t>寒尸候</t>
  </si>
  <si>
    <t>39-010（巻23）</t>
  </si>
  <si>
    <t>喪尸候</t>
  </si>
  <si>
    <t>39-011（巻23）</t>
  </si>
  <si>
    <t>尸気候</t>
  </si>
  <si>
    <t>39-012（巻23）</t>
  </si>
  <si>
    <t>諸注候</t>
  </si>
  <si>
    <t>40-001（巻24）</t>
  </si>
  <si>
    <t>風注候</t>
  </si>
  <si>
    <t>40-002（巻24）</t>
  </si>
  <si>
    <t>鬼注候</t>
  </si>
  <si>
    <t>40-003（巻24）</t>
  </si>
  <si>
    <t>五注候</t>
  </si>
  <si>
    <t>40-004（巻24）</t>
  </si>
  <si>
    <t>転注候</t>
  </si>
  <si>
    <t>40-005（巻24）</t>
  </si>
  <si>
    <t>生注候</t>
  </si>
  <si>
    <t>40-006（巻24）</t>
  </si>
  <si>
    <t>死注候</t>
  </si>
  <si>
    <t>40-007（巻24）</t>
  </si>
  <si>
    <t>邪注候</t>
  </si>
  <si>
    <t>40-008（巻24）</t>
  </si>
  <si>
    <t>気注候</t>
  </si>
  <si>
    <t>40-009（巻24）</t>
  </si>
  <si>
    <t>寒注候</t>
  </si>
  <si>
    <t>40-010（巻24）</t>
  </si>
  <si>
    <t>寒熱注候</t>
  </si>
  <si>
    <t>40-011（巻24）</t>
  </si>
  <si>
    <t>冷注候</t>
  </si>
  <si>
    <t>40-012（巻24）</t>
  </si>
  <si>
    <t>蠱注候</t>
  </si>
  <si>
    <t>40-013（巻24）</t>
  </si>
  <si>
    <t>毒注候</t>
  </si>
  <si>
    <t>40-014（巻24）</t>
  </si>
  <si>
    <t>悪注候</t>
  </si>
  <si>
    <t>40-015（巻24）</t>
  </si>
  <si>
    <t>注忤候</t>
  </si>
  <si>
    <t>40-016（巻24）</t>
  </si>
  <si>
    <t>遁注候</t>
  </si>
  <si>
    <t>40-017（巻24）</t>
  </si>
  <si>
    <t>走注候</t>
  </si>
  <si>
    <t>40-018（巻24）</t>
  </si>
  <si>
    <t>温注候</t>
  </si>
  <si>
    <t>40-019（巻24）</t>
  </si>
  <si>
    <t>喪注候</t>
  </si>
  <si>
    <t>40-020（巻24）</t>
  </si>
  <si>
    <t>哭注候</t>
  </si>
  <si>
    <t>40-021（巻24）</t>
  </si>
  <si>
    <t>殃注候</t>
  </si>
  <si>
    <t>40-022（巻24）</t>
  </si>
  <si>
    <t>食注候</t>
  </si>
  <si>
    <t>40-023（巻24）</t>
  </si>
  <si>
    <t>水注候</t>
  </si>
  <si>
    <t>40-024（巻24）</t>
  </si>
  <si>
    <t>骨注候</t>
  </si>
  <si>
    <t>40-025（巻24）</t>
  </si>
  <si>
    <t>血注候</t>
  </si>
  <si>
    <t>40-026（巻24）</t>
  </si>
  <si>
    <t>湿痺注候</t>
  </si>
  <si>
    <t>40-027（巻24）</t>
  </si>
  <si>
    <t>労注候</t>
  </si>
  <si>
    <t>40-028（巻24）</t>
  </si>
  <si>
    <t>微注候</t>
  </si>
  <si>
    <t>40-029（巻24）</t>
  </si>
  <si>
    <t>泄注候</t>
  </si>
  <si>
    <t>40-030（巻24）</t>
  </si>
  <si>
    <t>石注候</t>
  </si>
  <si>
    <t>40-031（巻24）</t>
  </si>
  <si>
    <t>産注候</t>
  </si>
  <si>
    <t>40-032（巻24）</t>
  </si>
  <si>
    <t>土注候</t>
  </si>
  <si>
    <t>40-033（巻24）</t>
  </si>
  <si>
    <t>飲注候</t>
  </si>
  <si>
    <t>40-034（巻24）</t>
  </si>
  <si>
    <t>蠱毒候</t>
  </si>
  <si>
    <t>41-001（巻25）</t>
  </si>
  <si>
    <t>蠱吐血候</t>
  </si>
  <si>
    <t>41-002（巻25）</t>
  </si>
  <si>
    <t>蠱下血候</t>
  </si>
  <si>
    <t>41-003（巻25）</t>
  </si>
  <si>
    <t>氐羌毒候</t>
  </si>
  <si>
    <t>41-004（巻25）</t>
  </si>
  <si>
    <t>猫鬼候</t>
  </si>
  <si>
    <t>41-005（巻25）</t>
  </si>
  <si>
    <t>野道候</t>
  </si>
  <si>
    <t>41-006（巻25）</t>
  </si>
  <si>
    <t>射工候</t>
  </si>
  <si>
    <t>41-007（巻25）</t>
  </si>
  <si>
    <t>沙虱候</t>
  </si>
  <si>
    <t>41-008（巻25）</t>
  </si>
  <si>
    <t>水毒候</t>
  </si>
  <si>
    <t>41-009（巻25）</t>
  </si>
  <si>
    <t>解諸毒候</t>
  </si>
  <si>
    <t>41-010（巻26）</t>
  </si>
  <si>
    <t>解諸薬毒候</t>
  </si>
  <si>
    <t>41-011（巻26）</t>
  </si>
  <si>
    <t>服薬失度候</t>
  </si>
  <si>
    <t>41-012（巻26）</t>
  </si>
  <si>
    <t>諸飲食中毒候</t>
  </si>
  <si>
    <t>41-013（巻26）</t>
  </si>
  <si>
    <t>食諸肉中毒候</t>
  </si>
  <si>
    <t>41-014（巻26）</t>
  </si>
  <si>
    <t>食牛肉中毒候</t>
  </si>
  <si>
    <t>41-015（巻26）</t>
  </si>
  <si>
    <t>食馬肉中毒候</t>
  </si>
  <si>
    <t>41-016（巻26）</t>
  </si>
  <si>
    <t>食六畜肉中毒候</t>
  </si>
  <si>
    <t>41-017（巻26）</t>
  </si>
  <si>
    <t>食六畜百獣肝中毒候</t>
  </si>
  <si>
    <t>41-018（巻26）</t>
  </si>
  <si>
    <t>食欝肉中毒候</t>
  </si>
  <si>
    <t>41-019（巻26）</t>
  </si>
  <si>
    <t>食狗肉中毒候</t>
  </si>
  <si>
    <t>41-020（巻26）</t>
  </si>
  <si>
    <t>食猪肉中毒候</t>
  </si>
  <si>
    <t>41-021（巻26）</t>
  </si>
  <si>
    <r>
      <t>食射</t>
    </r>
    <r>
      <rPr>
        <sz val="11"/>
        <color theme="1"/>
        <rFont val="游ゴシック"/>
        <family val="3"/>
        <charset val="136"/>
      </rPr>
      <t>菵</t>
    </r>
    <r>
      <rPr>
        <sz val="11"/>
        <color theme="1"/>
        <rFont val="ＭＳ Ｐゴシック"/>
        <family val="3"/>
        <charset val="128"/>
      </rPr>
      <t>肉中毒候</t>
    </r>
  </si>
  <si>
    <t>41-022（巻26）</t>
  </si>
  <si>
    <t>食鴨肉成病候</t>
  </si>
  <si>
    <t>41-023（巻26）</t>
  </si>
  <si>
    <t>食漏脯中毒候</t>
  </si>
  <si>
    <t>41-024（巻26）</t>
  </si>
  <si>
    <t>食魚鱠中毒候</t>
  </si>
  <si>
    <t>41-025（巻26）</t>
  </si>
  <si>
    <t>食諸魚中毒候</t>
  </si>
  <si>
    <t>41-026（巻26）</t>
  </si>
  <si>
    <t>食鱸魚肝中毒候</t>
  </si>
  <si>
    <t>41-027（巻26）</t>
  </si>
  <si>
    <t>食鯸鮐魚中毒候</t>
  </si>
  <si>
    <t>41-028（巻26）</t>
  </si>
  <si>
    <t>食蟹中毒候</t>
  </si>
  <si>
    <t>41-029（巻26）</t>
  </si>
  <si>
    <t>食諸菜蕈菌中毒候</t>
  </si>
  <si>
    <t>41-030（巻26）</t>
  </si>
  <si>
    <t>食諸蟲中毒候</t>
  </si>
  <si>
    <t>41-031（巻26）</t>
  </si>
  <si>
    <t>飲食大酔連日不解候</t>
  </si>
  <si>
    <t>41-032（巻26）</t>
  </si>
  <si>
    <t>飲酒中毒候</t>
  </si>
  <si>
    <t>41-033（巻26）</t>
  </si>
  <si>
    <t>飲酒腹満不消候</t>
  </si>
  <si>
    <t>41-034（巻26）</t>
  </si>
  <si>
    <t>悪酒候</t>
  </si>
  <si>
    <t>41-035（巻26）</t>
  </si>
  <si>
    <t>飲酒後諸病候</t>
  </si>
  <si>
    <t>41-036（巻26）</t>
  </si>
  <si>
    <t>吐血候</t>
  </si>
  <si>
    <t>42-001（巻27）</t>
  </si>
  <si>
    <t>吐血後虚熱胸中否口燥候</t>
  </si>
  <si>
    <t>42-002（巻27）</t>
  </si>
  <si>
    <t>嘔血候</t>
  </si>
  <si>
    <t>42-003（巻27）</t>
  </si>
  <si>
    <t>唾血候</t>
  </si>
  <si>
    <t>42-004（巻27）</t>
  </si>
  <si>
    <t>舌上出血候</t>
  </si>
  <si>
    <t>42-005（巻27）</t>
  </si>
  <si>
    <t>大便下血候</t>
  </si>
  <si>
    <t>42-006（巻27）</t>
  </si>
  <si>
    <t>小便血候</t>
  </si>
  <si>
    <t>42-007（巻27）</t>
  </si>
  <si>
    <t>九竅四支出血候</t>
  </si>
  <si>
    <t>42-008（巻27）</t>
  </si>
  <si>
    <t>汗血候</t>
  </si>
  <si>
    <t>42-009（巻27）</t>
  </si>
  <si>
    <t>鬚髪禿落候</t>
  </si>
  <si>
    <t>43-001（巻27）</t>
  </si>
  <si>
    <t>令生髭候</t>
  </si>
  <si>
    <t>43-002（巻27）</t>
  </si>
  <si>
    <t>白髪候</t>
  </si>
  <si>
    <t>43-003（巻27）</t>
  </si>
  <si>
    <t>令長髪候</t>
  </si>
  <si>
    <t>43-004（巻27）</t>
  </si>
  <si>
    <t>令髪潤沢候</t>
  </si>
  <si>
    <t>43-005（巻27）</t>
  </si>
  <si>
    <t>黄髪候</t>
  </si>
  <si>
    <t>43-006（巻27）</t>
  </si>
  <si>
    <t>鬚黄候</t>
  </si>
  <si>
    <t>43-007（巻27）</t>
  </si>
  <si>
    <t>令生眉毛候</t>
  </si>
  <si>
    <t>43-008（巻27）</t>
  </si>
  <si>
    <t>火焼処髪不生候</t>
  </si>
  <si>
    <t>43-009（巻27）</t>
  </si>
  <si>
    <t>令毛髪不生候</t>
  </si>
  <si>
    <t>43-010（巻27）</t>
  </si>
  <si>
    <t>白禿候</t>
  </si>
  <si>
    <t>43-011（巻27）</t>
  </si>
  <si>
    <t>赤禿候</t>
  </si>
  <si>
    <t>43-012（巻27）</t>
  </si>
  <si>
    <t>鬼舐頭候</t>
  </si>
  <si>
    <t>43-013（巻27）</t>
  </si>
  <si>
    <t>蛇身候</t>
  </si>
  <si>
    <t>44-001（巻27）</t>
  </si>
  <si>
    <t>面皰候</t>
  </si>
  <si>
    <t>44-002（巻27）</t>
  </si>
  <si>
    <t>面皯䵴候</t>
  </si>
  <si>
    <t>44-003（巻27）</t>
  </si>
  <si>
    <t>酒皶候</t>
  </si>
  <si>
    <t>44-004（巻27）</t>
  </si>
  <si>
    <t>嗣面候</t>
  </si>
  <si>
    <t>44-005（巻27）</t>
  </si>
  <si>
    <t>目赤痛候</t>
  </si>
  <si>
    <t>45-001（巻28）</t>
  </si>
  <si>
    <t>目胎赤候</t>
  </si>
  <si>
    <t>45-002（巻28）</t>
  </si>
  <si>
    <t>目風赤候</t>
  </si>
  <si>
    <t>45-003（巻28）</t>
  </si>
  <si>
    <t>目赤爛眥候</t>
  </si>
  <si>
    <t>45-004（巻28）</t>
  </si>
  <si>
    <t>目数十年赤候</t>
  </si>
  <si>
    <t>45-005（巻28）</t>
  </si>
  <si>
    <t>目風腫候</t>
  </si>
  <si>
    <t>45-006（巻28）</t>
  </si>
  <si>
    <t>目風涙出候</t>
  </si>
  <si>
    <t>45-007（巻28）</t>
  </si>
  <si>
    <t>目涙出不止候</t>
  </si>
  <si>
    <t>45-008（巻28）</t>
  </si>
  <si>
    <t>目膚翳候</t>
  </si>
  <si>
    <t>45-009（巻28）</t>
  </si>
  <si>
    <t>目膚翳覆瞳子候</t>
  </si>
  <si>
    <t>45-010（巻28）</t>
  </si>
  <si>
    <t>目息肉淫膚候</t>
  </si>
  <si>
    <t>45-011（巻28）</t>
  </si>
  <si>
    <t>目暗不明候</t>
  </si>
  <si>
    <t>45-012（巻28）</t>
  </si>
  <si>
    <t>目清盲候</t>
  </si>
  <si>
    <t>45-013（巻28）</t>
  </si>
  <si>
    <t>目清盲有翳候</t>
  </si>
  <si>
    <t>45-014（巻28）</t>
  </si>
  <si>
    <t>目茫茫候</t>
  </si>
  <si>
    <t>45-015（巻28）</t>
  </si>
  <si>
    <t>雀目候</t>
  </si>
  <si>
    <t>45-016（巻28）</t>
  </si>
  <si>
    <t>目珠管候</t>
  </si>
  <si>
    <t>45-017（巻28）</t>
  </si>
  <si>
    <t>目珠子脱出候</t>
  </si>
  <si>
    <t>45-018（巻28）</t>
  </si>
  <si>
    <t>目不能遠視候</t>
  </si>
  <si>
    <t>45-019（巻28）</t>
  </si>
  <si>
    <t>目渋候</t>
  </si>
  <si>
    <t>45-020（巻28）</t>
  </si>
  <si>
    <t>目眩候</t>
  </si>
  <si>
    <t>45-021（巻28）</t>
  </si>
  <si>
    <t>目視一物為両候</t>
  </si>
  <si>
    <t>45-022（巻28）</t>
  </si>
  <si>
    <t>目偏視候</t>
  </si>
  <si>
    <t>45-023（巻28）</t>
  </si>
  <si>
    <t>目飛血候</t>
  </si>
  <si>
    <t>45-024（巻28）</t>
  </si>
  <si>
    <t>目黒候</t>
  </si>
  <si>
    <t>45-025（巻28）</t>
  </si>
  <si>
    <t>目暈候</t>
  </si>
  <si>
    <t>45-026（巻28）</t>
  </si>
  <si>
    <t>睊〔公県切〕目候</t>
  </si>
  <si>
    <t>45-027（巻28）</t>
  </si>
  <si>
    <t>目眵䁾候</t>
  </si>
  <si>
    <t>45-028（巻28）</t>
  </si>
  <si>
    <t>睢目候</t>
  </si>
  <si>
    <t>45-029（巻28）</t>
  </si>
  <si>
    <t>目眇候</t>
  </si>
  <si>
    <t>45-030（巻28）</t>
  </si>
  <si>
    <t>目蜡〔音即〕候</t>
  </si>
  <si>
    <t>45-031（巻28）</t>
  </si>
  <si>
    <t>目肥候</t>
  </si>
  <si>
    <t>45-032（巻28）</t>
  </si>
  <si>
    <t>目皰瘡候</t>
  </si>
  <si>
    <t>45-033（巻28）</t>
  </si>
  <si>
    <t>目膿漏候</t>
  </si>
  <si>
    <t>45-034（巻28）</t>
  </si>
  <si>
    <t>目封塞候</t>
  </si>
  <si>
    <t>45-035（巻28）</t>
  </si>
  <si>
    <t>目内有丁候</t>
  </si>
  <si>
    <t>45-036（巻28）</t>
  </si>
  <si>
    <t>鍼眼候</t>
  </si>
  <si>
    <t>45-037（巻28）</t>
  </si>
  <si>
    <t>割目後除痛止血候</t>
  </si>
  <si>
    <t>45-038（巻28）</t>
  </si>
  <si>
    <t>鼻衄候</t>
  </si>
  <si>
    <t>46-001（巻29）</t>
  </si>
  <si>
    <t>鼻衄不止候</t>
  </si>
  <si>
    <t>46-002（巻29）</t>
  </si>
  <si>
    <t>鼻大衄候</t>
  </si>
  <si>
    <t>46-003（巻29）</t>
  </si>
  <si>
    <t>鼻久衄候</t>
  </si>
  <si>
    <t>46-004（巻29）</t>
  </si>
  <si>
    <t>鼻齆候</t>
  </si>
  <si>
    <t>46-005（巻29）</t>
  </si>
  <si>
    <t>鼻生瘡候</t>
  </si>
  <si>
    <t>46-006（巻29）</t>
  </si>
  <si>
    <t>鼻息肉候</t>
  </si>
  <si>
    <t>46-007（巻29）</t>
  </si>
  <si>
    <t>鼻窒塞気息不通候</t>
  </si>
  <si>
    <t>46-008（巻29）</t>
  </si>
  <si>
    <t>鼻涕候</t>
  </si>
  <si>
    <t>46-009（巻29）</t>
  </si>
  <si>
    <t>鼻痛候</t>
  </si>
  <si>
    <t>46-010（巻29）</t>
  </si>
  <si>
    <t>食諸物誤落鼻内候</t>
  </si>
  <si>
    <t>46-011（巻29）</t>
  </si>
  <si>
    <t>耳聾候</t>
  </si>
  <si>
    <t>47-001（巻29）</t>
  </si>
  <si>
    <t>耳風聾候</t>
  </si>
  <si>
    <t>47-002（巻29）</t>
  </si>
  <si>
    <t>労重聾候</t>
  </si>
  <si>
    <t>47-003（巻29）</t>
  </si>
  <si>
    <t>久聾候</t>
  </si>
  <si>
    <t>47-004（巻29）</t>
  </si>
  <si>
    <t>耳鳴候</t>
  </si>
  <si>
    <t>47-005（巻29）</t>
  </si>
  <si>
    <t>聤耳候</t>
  </si>
  <si>
    <t>47-006（巻29）</t>
  </si>
  <si>
    <t>耳疼痛候</t>
  </si>
  <si>
    <t>47-007（巻29）</t>
  </si>
  <si>
    <t>耳聤聹候</t>
  </si>
  <si>
    <t>47-008（巻29）</t>
  </si>
  <si>
    <t>耳瘡候</t>
  </si>
  <si>
    <t>47-009（巻29）</t>
  </si>
  <si>
    <t>牙歯痛候</t>
  </si>
  <si>
    <t>48-001（巻29）</t>
  </si>
  <si>
    <t>牙痛候</t>
  </si>
  <si>
    <t>48-002（巻29）</t>
  </si>
  <si>
    <t>歯痛候</t>
  </si>
  <si>
    <t>48-003（巻29）</t>
  </si>
  <si>
    <t>風歯候</t>
  </si>
  <si>
    <t>48-004（巻29）</t>
  </si>
  <si>
    <t>歯齗腫候</t>
  </si>
  <si>
    <t>48-005（巻29）</t>
  </si>
  <si>
    <t>歯間血出候</t>
  </si>
  <si>
    <t>48-006（巻29）</t>
  </si>
  <si>
    <t>牙歯蟲候</t>
  </si>
  <si>
    <t>48-007（巻29）</t>
  </si>
  <si>
    <t>牙蟲侯</t>
  </si>
  <si>
    <t>48-008（巻29）</t>
  </si>
  <si>
    <t>歯蟲候</t>
  </si>
  <si>
    <t>48-009（巻29）</t>
  </si>
  <si>
    <t>歯齲注候</t>
  </si>
  <si>
    <t>48-010（巻29）</t>
  </si>
  <si>
    <t>歯䘌候</t>
  </si>
  <si>
    <t>48-011（巻29）</t>
  </si>
  <si>
    <t>歯挺候</t>
  </si>
  <si>
    <t>48-012（巻29）</t>
  </si>
  <si>
    <t>歯動揺候</t>
  </si>
  <si>
    <t>48-013（巻29）</t>
  </si>
  <si>
    <t>歯落不生候</t>
  </si>
  <si>
    <t>48-014（巻29）</t>
  </si>
  <si>
    <t>歯音離候</t>
  </si>
  <si>
    <t>48-015（巻29）</t>
  </si>
  <si>
    <t>牙歯歴蠹候</t>
  </si>
  <si>
    <t>48-016（巻29）</t>
  </si>
  <si>
    <t>歯漏候</t>
  </si>
  <si>
    <t>48-017（巻29）</t>
  </si>
  <si>
    <t>歯齗候</t>
  </si>
  <si>
    <t>48-018（巻29）</t>
  </si>
  <si>
    <t>抜歯損候</t>
  </si>
  <si>
    <t>48-019（巻29）</t>
  </si>
  <si>
    <t>齘歯候</t>
  </si>
  <si>
    <t>48-020（巻29）</t>
  </si>
  <si>
    <t>歯黄黒候</t>
  </si>
  <si>
    <t>48-021（巻29）</t>
  </si>
  <si>
    <t>口舌瘡候</t>
  </si>
  <si>
    <t>49-001（巻30）</t>
  </si>
  <si>
    <t>緊唇候</t>
  </si>
  <si>
    <t>49-002（巻30）</t>
  </si>
  <si>
    <t>唇瘡候</t>
  </si>
  <si>
    <t>49-003（巻30）</t>
  </si>
  <si>
    <t>唇生核候</t>
  </si>
  <si>
    <t>49-004（巻30）</t>
  </si>
  <si>
    <t>口吻瘡候</t>
  </si>
  <si>
    <t>49-005（巻30）</t>
  </si>
  <si>
    <t>唇口面皴候</t>
  </si>
  <si>
    <t>49-006（巻30）</t>
  </si>
  <si>
    <t>兎缺候</t>
  </si>
  <si>
    <t>49-007（巻30）</t>
  </si>
  <si>
    <t>口臭候</t>
  </si>
  <si>
    <t>49-008（巻30）</t>
  </si>
  <si>
    <t>口舌乾焦候</t>
  </si>
  <si>
    <t>49-009（巻30）</t>
  </si>
  <si>
    <t>舌腫強候</t>
  </si>
  <si>
    <t>49-010（巻30）</t>
  </si>
  <si>
    <t>謇吃候</t>
  </si>
  <si>
    <t>49-011（巻30）</t>
  </si>
  <si>
    <t>重舌候</t>
  </si>
  <si>
    <t>49-012（巻30）</t>
  </si>
  <si>
    <t>懸癰候</t>
  </si>
  <si>
    <t>49-013（巻30）</t>
  </si>
  <si>
    <t>咽喉垂倒候</t>
  </si>
  <si>
    <t>49-014（巻30）</t>
  </si>
  <si>
    <t>失欠頷車蹉候</t>
  </si>
  <si>
    <t>49-015（巻30）</t>
  </si>
  <si>
    <t>数欠候</t>
  </si>
  <si>
    <t>49-016（巻30）</t>
  </si>
  <si>
    <t>失枕候</t>
  </si>
  <si>
    <t>49-017（巻30）</t>
  </si>
  <si>
    <t>喉痺候</t>
  </si>
  <si>
    <t>50-001（巻30）</t>
  </si>
  <si>
    <t>馬喉痺候</t>
  </si>
  <si>
    <t>50-002（巻30）</t>
  </si>
  <si>
    <t>喉中生穀賊不通候</t>
  </si>
  <si>
    <t>50-003（巻30）</t>
  </si>
  <si>
    <t>狗咽候</t>
  </si>
  <si>
    <t>50-004（巻30）</t>
  </si>
  <si>
    <t>咽喉瘡候</t>
  </si>
  <si>
    <t>50-005（巻30）</t>
  </si>
  <si>
    <t>尸咽候</t>
  </si>
  <si>
    <t>50-006（巻30）</t>
  </si>
  <si>
    <t>喉咽腫痛候</t>
  </si>
  <si>
    <t>50-007（巻30）</t>
  </si>
  <si>
    <t>喉癰候</t>
  </si>
  <si>
    <t>50-008（巻30）</t>
  </si>
  <si>
    <t>咽喉不利候</t>
  </si>
  <si>
    <t>50-009（巻30）</t>
  </si>
  <si>
    <t>心痺候</t>
  </si>
  <si>
    <t>50-010（巻30）</t>
  </si>
  <si>
    <t>胸痺候</t>
  </si>
  <si>
    <t>50-011（巻30）</t>
  </si>
  <si>
    <t>代指候</t>
  </si>
  <si>
    <t>50-012（巻30）</t>
  </si>
  <si>
    <t>手足発胝候</t>
  </si>
  <si>
    <t>50-013（巻30）</t>
  </si>
  <si>
    <t>手足逆臚候</t>
  </si>
  <si>
    <t>50-014（巻30）</t>
  </si>
  <si>
    <t>肉刺候</t>
  </si>
  <si>
    <t>50-015（巻30）</t>
  </si>
  <si>
    <t>肉裂候</t>
  </si>
  <si>
    <t>50-016（巻30）</t>
  </si>
  <si>
    <t>手足皸〔音軍〕裂候</t>
  </si>
  <si>
    <t>50-017（巻30）</t>
  </si>
  <si>
    <t>尸脚候</t>
  </si>
  <si>
    <t>50-018（巻30）</t>
  </si>
  <si>
    <t>足尰候</t>
  </si>
  <si>
    <t>50-019（巻30）</t>
  </si>
  <si>
    <t>五指筋攣不得屈伸候</t>
  </si>
  <si>
    <t>50-020（巻30）</t>
  </si>
  <si>
    <t>四支痛无常処候</t>
  </si>
  <si>
    <t>50-021（巻30）</t>
  </si>
  <si>
    <r>
      <t>脚跟</t>
    </r>
    <r>
      <rPr>
        <sz val="11"/>
        <color theme="1"/>
        <rFont val="游ゴシック"/>
        <family val="3"/>
        <charset val="129"/>
      </rPr>
      <t>頹</t>
    </r>
    <r>
      <rPr>
        <sz val="11"/>
        <color theme="1"/>
        <rFont val="ＭＳ Ｐゴシック"/>
        <family val="3"/>
        <charset val="128"/>
      </rPr>
      <t>候</t>
    </r>
  </si>
  <si>
    <t>50-022（巻30）</t>
  </si>
  <si>
    <t>脚中忽有物牢如石如刀錐所刺候</t>
  </si>
  <si>
    <t>50-023（巻30）</t>
  </si>
  <si>
    <t>土落脚指内候</t>
  </si>
  <si>
    <t>50-024（巻30）</t>
  </si>
  <si>
    <t>脚破候</t>
  </si>
  <si>
    <t>50-025（巻30）</t>
  </si>
  <si>
    <t>癭候</t>
  </si>
  <si>
    <t>51-001（巻31）</t>
  </si>
  <si>
    <t>瘤候</t>
  </si>
  <si>
    <t>51-002（巻31）</t>
  </si>
  <si>
    <t>脳湿候</t>
  </si>
  <si>
    <t>51-003（巻31）</t>
  </si>
  <si>
    <t>多忘候</t>
  </si>
  <si>
    <t>51-004（巻31）</t>
  </si>
  <si>
    <t>嗜眠候</t>
  </si>
  <si>
    <t>51-005（巻31）</t>
  </si>
  <si>
    <t>鼾眠候</t>
  </si>
  <si>
    <t>51-006（巻31）</t>
  </si>
  <si>
    <t>体臭候</t>
  </si>
  <si>
    <t>51-007（巻31）</t>
  </si>
  <si>
    <t>狐臭候</t>
  </si>
  <si>
    <t>51-008（巻31）</t>
  </si>
  <si>
    <t>漏掖候</t>
  </si>
  <si>
    <t>51-009（巻31）</t>
  </si>
  <si>
    <t>黒志候</t>
  </si>
  <si>
    <t>51-010（巻31）</t>
  </si>
  <si>
    <t>赤疵候</t>
  </si>
  <si>
    <t>51-011（巻31）</t>
  </si>
  <si>
    <t>白癜候</t>
  </si>
  <si>
    <t>51-012（巻31）</t>
  </si>
  <si>
    <t>癧瘍候</t>
  </si>
  <si>
    <t>51-013（巻31）</t>
  </si>
  <si>
    <t>疣目候</t>
  </si>
  <si>
    <t>51-014（巻31）</t>
  </si>
  <si>
    <t>鼠乳候</t>
  </si>
  <si>
    <t>51-015（巻31）</t>
  </si>
  <si>
    <t>丹候</t>
  </si>
  <si>
    <t>52-001（巻31）</t>
  </si>
  <si>
    <t>白丹候</t>
  </si>
  <si>
    <t>52-002（巻31）</t>
  </si>
  <si>
    <t>黒丹候</t>
  </si>
  <si>
    <t>52-003（巻31）</t>
  </si>
  <si>
    <t>赤丹候</t>
  </si>
  <si>
    <t>52-004（巻31）</t>
  </si>
  <si>
    <t>丹軫候</t>
  </si>
  <si>
    <t>52-005（巻31）</t>
  </si>
  <si>
    <t>室火丹候</t>
  </si>
  <si>
    <t>52-006（巻31）</t>
  </si>
  <si>
    <t>天竃火丹候</t>
  </si>
  <si>
    <t>52-007（巻31）</t>
  </si>
  <si>
    <t>廃竃火丹候</t>
  </si>
  <si>
    <t>52-008（巻31）</t>
  </si>
  <si>
    <t>尿竃火丹候</t>
  </si>
  <si>
    <t>52-009（巻31）</t>
  </si>
  <si>
    <t>熛火丹候</t>
  </si>
  <si>
    <t>52-010（巻31）</t>
  </si>
  <si>
    <r>
      <rPr>
        <sz val="11"/>
        <color theme="1"/>
        <rFont val="游ゴシック"/>
        <family val="3"/>
        <charset val="136"/>
      </rPr>
      <t>瘑</t>
    </r>
    <r>
      <rPr>
        <sz val="11"/>
        <color theme="1"/>
        <rFont val="ＭＳ Ｐゴシック"/>
        <family val="3"/>
        <charset val="128"/>
      </rPr>
      <t>火丹候</t>
    </r>
  </si>
  <si>
    <t>52-011（巻31）</t>
  </si>
  <si>
    <t>蛍火丹候</t>
  </si>
  <si>
    <t>52-012（巻31）</t>
  </si>
  <si>
    <t>石火丹候</t>
  </si>
  <si>
    <t>52-013（巻31）</t>
  </si>
  <si>
    <t>諸腫候</t>
  </si>
  <si>
    <t>53-001（巻31）</t>
  </si>
  <si>
    <t>風腫候</t>
  </si>
  <si>
    <t>53-002（巻31）</t>
  </si>
  <si>
    <t>卒風腫候</t>
  </si>
  <si>
    <t>53-003（巻31）</t>
  </si>
  <si>
    <t>風毒腫侯</t>
  </si>
  <si>
    <t>53-004（巻31）</t>
  </si>
  <si>
    <t>毒腫候</t>
  </si>
  <si>
    <t>53-005（巻31）</t>
  </si>
  <si>
    <t>毒腫入腹候</t>
  </si>
  <si>
    <t>53-006（巻31）</t>
  </si>
  <si>
    <t>悪核腫候</t>
  </si>
  <si>
    <t>53-007（巻31）</t>
  </si>
  <si>
    <t>腫核候</t>
  </si>
  <si>
    <t>53-008（巻31）</t>
  </si>
  <si>
    <t>気腫候</t>
  </si>
  <si>
    <t>53-009（巻31）</t>
  </si>
  <si>
    <t>気痛候</t>
  </si>
  <si>
    <t>53-010（巻31）</t>
  </si>
  <si>
    <t>悪脈候</t>
  </si>
  <si>
    <t>53-011（巻31）</t>
  </si>
  <si>
    <t>悪肉候</t>
  </si>
  <si>
    <t>53-012（巻31）</t>
  </si>
  <si>
    <t>腫有膿使潰候</t>
  </si>
  <si>
    <t>53-013（巻31）</t>
  </si>
  <si>
    <t>腫潰後候</t>
  </si>
  <si>
    <t>53-014（巻31）</t>
  </si>
  <si>
    <t>遊腫候</t>
  </si>
  <si>
    <t>53-015（巻31）</t>
  </si>
  <si>
    <t>日遊腫候</t>
  </si>
  <si>
    <t>53-016（巻31）</t>
  </si>
  <si>
    <t>流腫候</t>
  </si>
  <si>
    <t>53-017（巻31）</t>
  </si>
  <si>
    <t>丁瘡候</t>
  </si>
  <si>
    <t>54-001（巻31）</t>
  </si>
  <si>
    <t>雄丁瘡候</t>
  </si>
  <si>
    <t>54-002（巻31）</t>
  </si>
  <si>
    <t>雌丁瘡候</t>
  </si>
  <si>
    <t>54-003（巻31）</t>
  </si>
  <si>
    <t>紫色火赤丁瘡候</t>
  </si>
  <si>
    <t>54-004（巻31）</t>
  </si>
  <si>
    <t>牛丁瘡候</t>
  </si>
  <si>
    <t>54-005（巻31）</t>
  </si>
  <si>
    <t>魚斉丁瘡候</t>
  </si>
  <si>
    <t>54-006（巻31）</t>
  </si>
  <si>
    <t>赤根丁瘡候</t>
  </si>
  <si>
    <t>54-007（巻31）</t>
  </si>
  <si>
    <t>犯丁瘡候</t>
  </si>
  <si>
    <t>54-008（巻31）</t>
  </si>
  <si>
    <t>丁瘡腫候</t>
  </si>
  <si>
    <t>54-009（巻31）</t>
  </si>
  <si>
    <t>犯丁瘡腫候</t>
  </si>
  <si>
    <t>54-010（巻31）</t>
  </si>
  <si>
    <t>丁腫候</t>
  </si>
  <si>
    <t>54-011（巻31）</t>
  </si>
  <si>
    <t>丁瘡久不差候</t>
  </si>
  <si>
    <t>54-012（巻31）</t>
  </si>
  <si>
    <t>犯丁腫候</t>
  </si>
  <si>
    <t>54-013（巻31）</t>
  </si>
  <si>
    <t>癰候</t>
  </si>
  <si>
    <t>55-001（巻32）</t>
  </si>
  <si>
    <t>癰有膿候</t>
  </si>
  <si>
    <t>55-002（巻32）</t>
  </si>
  <si>
    <t>癰潰後候</t>
  </si>
  <si>
    <t>55-003（巻32）</t>
  </si>
  <si>
    <t>石癰候</t>
  </si>
  <si>
    <t>55-004（巻32）</t>
  </si>
  <si>
    <t>附骨癰腫候</t>
  </si>
  <si>
    <t>55-005（巻32）</t>
  </si>
  <si>
    <t>癰虚熱候</t>
  </si>
  <si>
    <t>55-006（巻32）</t>
  </si>
  <si>
    <t>癰煩渇候</t>
  </si>
  <si>
    <t>55-007（巻32）</t>
  </si>
  <si>
    <t>発癰欬嗽候</t>
  </si>
  <si>
    <t>55-008（巻32）</t>
  </si>
  <si>
    <t>癰下利候</t>
  </si>
  <si>
    <t>55-009（巻32）</t>
  </si>
  <si>
    <t>発癰大小便不通候</t>
  </si>
  <si>
    <t>55-010（巻32）</t>
  </si>
  <si>
    <t>発癰内虚心驚候</t>
  </si>
  <si>
    <t>55-011（巻32）</t>
  </si>
  <si>
    <t>癰腫久愈汁不絶候</t>
  </si>
  <si>
    <t>55-012（巻32）</t>
  </si>
  <si>
    <t>癰差後重発候</t>
  </si>
  <si>
    <t>55-013（巻32）</t>
  </si>
  <si>
    <t>久癰候</t>
  </si>
  <si>
    <t>55-014（巻32）</t>
  </si>
  <si>
    <t>疽候</t>
  </si>
  <si>
    <t>55-015（巻32）</t>
  </si>
  <si>
    <t>疽潰後候</t>
  </si>
  <si>
    <t>55-016（巻32）</t>
  </si>
  <si>
    <t>緩疽候</t>
  </si>
  <si>
    <t>55-017（巻33）</t>
  </si>
  <si>
    <t>熛疽候</t>
  </si>
  <si>
    <t>55-018（巻33）</t>
  </si>
  <si>
    <t>疽発口歯候</t>
  </si>
  <si>
    <t>55-019（巻33）</t>
  </si>
  <si>
    <t>行疽候</t>
  </si>
  <si>
    <t>55-020（巻33）</t>
  </si>
  <si>
    <t>風疽候</t>
  </si>
  <si>
    <t>55-021（巻33）</t>
  </si>
  <si>
    <t>石疽候</t>
  </si>
  <si>
    <t>55-022（巻33）</t>
  </si>
  <si>
    <t>禽疽候</t>
  </si>
  <si>
    <t>55-023（巻33）</t>
  </si>
  <si>
    <t>杼疽候</t>
  </si>
  <si>
    <t>55-024（巻33）</t>
  </si>
  <si>
    <t>水疽候</t>
  </si>
  <si>
    <t>55-025（巻33）</t>
  </si>
  <si>
    <t>肘疽候</t>
  </si>
  <si>
    <t>55-026（巻33）</t>
  </si>
  <si>
    <t>附骨疽候</t>
  </si>
  <si>
    <t>55-027（巻33）</t>
  </si>
  <si>
    <t>久疽候</t>
  </si>
  <si>
    <t>55-028（巻33）</t>
  </si>
  <si>
    <t>疽虚熱候</t>
  </si>
  <si>
    <t>55-029（巻33）</t>
  </si>
  <si>
    <t>疽大小便不通候</t>
  </si>
  <si>
    <t>55-030（巻33）</t>
  </si>
  <si>
    <t>癰発背後</t>
  </si>
  <si>
    <t>55-031（巻33）</t>
  </si>
  <si>
    <t>癰発背潰後候</t>
  </si>
  <si>
    <t>55-032（巻33）</t>
  </si>
  <si>
    <t>癰発背後下利候</t>
  </si>
  <si>
    <t>55-033（巻33）</t>
  </si>
  <si>
    <t>癰発背渇後、</t>
  </si>
  <si>
    <t>55-034（巻33）</t>
  </si>
  <si>
    <t>癰発背兼嗽候</t>
  </si>
  <si>
    <t>55-035（巻33）</t>
  </si>
  <si>
    <t>癰発背大便不通候</t>
  </si>
  <si>
    <t>55-036（巻33）</t>
  </si>
  <si>
    <t>癰発背悪肉不尽候</t>
  </si>
  <si>
    <t>55-037（巻33）</t>
  </si>
  <si>
    <t>疽発背候</t>
  </si>
  <si>
    <t>55-038（巻33）</t>
  </si>
  <si>
    <t>疽発背潰後候</t>
  </si>
  <si>
    <t>55-039（巻33）</t>
  </si>
  <si>
    <t>疽発背熱渇候</t>
  </si>
  <si>
    <t>55-040（巻33）</t>
  </si>
  <si>
    <t>腸癰候</t>
  </si>
  <si>
    <t>55-041（巻33）</t>
  </si>
  <si>
    <t>内癰候</t>
  </si>
  <si>
    <t>55-042（巻33）</t>
  </si>
  <si>
    <t>肺癰候</t>
  </si>
  <si>
    <t>55-043（巻33）</t>
  </si>
  <si>
    <t>䐔病候</t>
  </si>
  <si>
    <t>55-044（巻33）</t>
  </si>
  <si>
    <t>痤癤候</t>
  </si>
  <si>
    <t>55-045（巻33）</t>
  </si>
  <si>
    <t>諸瘻候</t>
  </si>
  <si>
    <t>56-001（巻34）</t>
  </si>
  <si>
    <t>鼠瘻候</t>
  </si>
  <si>
    <t>56-002（巻34）</t>
  </si>
  <si>
    <t>蜂瘻候</t>
  </si>
  <si>
    <t>56-003（巻34）</t>
  </si>
  <si>
    <t>蟻瘻候</t>
  </si>
  <si>
    <t>56-004（巻34）</t>
  </si>
  <si>
    <t>蚍蜉瘻候</t>
  </si>
  <si>
    <t>56-005（巻34）</t>
  </si>
  <si>
    <t>蝿瘻候</t>
  </si>
  <si>
    <t>56-006（巻34）</t>
  </si>
  <si>
    <t>螻蛄瘻候</t>
  </si>
  <si>
    <t>56-007（巻34）</t>
  </si>
  <si>
    <t>蠐螬瘻候</t>
  </si>
  <si>
    <t>56-008（巻34）</t>
  </si>
  <si>
    <t>雕鳥鶴瘻候</t>
  </si>
  <si>
    <t>56-009（巻34）</t>
  </si>
  <si>
    <t>尸瘻候</t>
  </si>
  <si>
    <t>56-010（巻34）</t>
  </si>
  <si>
    <t>風瘻候</t>
  </si>
  <si>
    <t>56-011（巻34）</t>
  </si>
  <si>
    <t>鞠瘻候</t>
  </si>
  <si>
    <t>56-012（巻34）</t>
  </si>
  <si>
    <t>蜣蜋瘻候</t>
  </si>
  <si>
    <t>56-013（巻34）</t>
  </si>
  <si>
    <t>骨疽瘻候</t>
  </si>
  <si>
    <t>56-014（巻34）</t>
  </si>
  <si>
    <t>蚯蚓瘻候</t>
  </si>
  <si>
    <t>56-015（巻34）</t>
  </si>
  <si>
    <t>花瘻候</t>
  </si>
  <si>
    <t>56-016（巻34）</t>
  </si>
  <si>
    <t>蠍瘻候</t>
  </si>
  <si>
    <t>56-017（巻34）</t>
  </si>
  <si>
    <t>蚝瘻候</t>
  </si>
  <si>
    <t>56-018（巻34）</t>
  </si>
  <si>
    <t>脳瘻候</t>
  </si>
  <si>
    <t>56-019（巻34）</t>
  </si>
  <si>
    <t>癰瘻候</t>
  </si>
  <si>
    <t>56-020（巻34）</t>
  </si>
  <si>
    <t>橛瘻候</t>
  </si>
  <si>
    <t>56-021（巻34）</t>
  </si>
  <si>
    <t>蟲瘻候</t>
  </si>
  <si>
    <t>56-022（巻34）</t>
  </si>
  <si>
    <t>石瘻候</t>
  </si>
  <si>
    <t>56-023（巻34）</t>
  </si>
  <si>
    <t>蛙瘻候</t>
  </si>
  <si>
    <t>56-024（巻34）</t>
  </si>
  <si>
    <t>蝦蟇瘻候</t>
  </si>
  <si>
    <t>56-025（巻34）</t>
  </si>
  <si>
    <t>蛇瘻候</t>
  </si>
  <si>
    <t>56-026（巻34）</t>
  </si>
  <si>
    <r>
      <rPr>
        <sz val="11"/>
        <color theme="1"/>
        <rFont val="游ゴシック"/>
        <family val="3"/>
        <charset val="136"/>
      </rPr>
      <t>螲</t>
    </r>
    <r>
      <rPr>
        <sz val="11"/>
        <color theme="1"/>
        <rFont val="ＭＳ Ｐゴシック"/>
        <family val="3"/>
        <charset val="128"/>
      </rPr>
      <t>蟷瘻候</t>
    </r>
  </si>
  <si>
    <t>56-027（巻34）</t>
  </si>
  <si>
    <t>赤白瘻候</t>
  </si>
  <si>
    <t>56-028（巻34）</t>
  </si>
  <si>
    <t>内瘻候</t>
  </si>
  <si>
    <t>56-029（巻34）</t>
  </si>
  <si>
    <t>雀瘻候</t>
  </si>
  <si>
    <t>56-030（巻34）</t>
  </si>
  <si>
    <t>膿瘻候</t>
  </si>
  <si>
    <t>56-031（巻34）</t>
  </si>
  <si>
    <t>冷瘻候</t>
  </si>
  <si>
    <t>56-032（巻34）</t>
  </si>
  <si>
    <t>久瘻候</t>
  </si>
  <si>
    <t>56-033（巻34）</t>
  </si>
  <si>
    <t>瘰癧瘻候</t>
  </si>
  <si>
    <t>56-034（巻34）</t>
  </si>
  <si>
    <t>㿉瘻候</t>
  </si>
  <si>
    <t>56-035（巻34）</t>
  </si>
  <si>
    <t>諸痔候</t>
  </si>
  <si>
    <t>57-001（巻34）</t>
  </si>
  <si>
    <t>牡痔候</t>
  </si>
  <si>
    <t>57-002（巻34）</t>
  </si>
  <si>
    <t>牝痔侯</t>
  </si>
  <si>
    <t>57-003（巻34）</t>
  </si>
  <si>
    <t>脈痔候</t>
  </si>
  <si>
    <t>57-004（巻34）</t>
  </si>
  <si>
    <t>腸痔候</t>
  </si>
  <si>
    <t>57-005（巻34）</t>
  </si>
  <si>
    <t>血痔候</t>
  </si>
  <si>
    <t>57-006（巻34）</t>
  </si>
  <si>
    <t>頭面身体諸瘡候</t>
  </si>
  <si>
    <t>58-001（巻35）</t>
  </si>
  <si>
    <t>頭面身体諸久瘡候</t>
  </si>
  <si>
    <t>58-002（巻35）</t>
  </si>
  <si>
    <t>諸悪瘡候</t>
  </si>
  <si>
    <t>58-003（巻35）</t>
  </si>
  <si>
    <t>久悪瘡候</t>
  </si>
  <si>
    <t>58-004（巻35）</t>
  </si>
  <si>
    <r>
      <rPr>
        <sz val="11"/>
        <color theme="1"/>
        <rFont val="游ゴシック"/>
        <family val="3"/>
        <charset val="136"/>
      </rPr>
      <t>瘑</t>
    </r>
    <r>
      <rPr>
        <sz val="11"/>
        <color theme="1"/>
        <rFont val="ＭＳ Ｐゴシック"/>
        <family val="3"/>
        <charset val="128"/>
      </rPr>
      <t>瘡候</t>
    </r>
  </si>
  <si>
    <t>58-005（巻35）</t>
  </si>
  <si>
    <r>
      <t>燥</t>
    </r>
    <r>
      <rPr>
        <sz val="11"/>
        <color theme="1"/>
        <rFont val="游ゴシック"/>
        <family val="3"/>
        <charset val="136"/>
      </rPr>
      <t>瘑</t>
    </r>
    <r>
      <rPr>
        <sz val="11"/>
        <color theme="1"/>
        <rFont val="ＭＳ Ｐゴシック"/>
        <family val="3"/>
        <charset val="128"/>
      </rPr>
      <t>瘡候</t>
    </r>
  </si>
  <si>
    <t>58-006（巻35）</t>
  </si>
  <si>
    <r>
      <t>湿</t>
    </r>
    <r>
      <rPr>
        <sz val="11"/>
        <color theme="1"/>
        <rFont val="游ゴシック"/>
        <family val="3"/>
        <charset val="136"/>
      </rPr>
      <t>瘑</t>
    </r>
    <r>
      <rPr>
        <sz val="11"/>
        <color theme="1"/>
        <rFont val="ＭＳ Ｐゴシック"/>
        <family val="3"/>
        <charset val="128"/>
      </rPr>
      <t>瘡候</t>
    </r>
  </si>
  <si>
    <t>58-007（巻35）</t>
  </si>
  <si>
    <r>
      <t>久</t>
    </r>
    <r>
      <rPr>
        <sz val="11"/>
        <color theme="1"/>
        <rFont val="游ゴシック"/>
        <family val="3"/>
        <charset val="136"/>
      </rPr>
      <t>瘑</t>
    </r>
    <r>
      <rPr>
        <sz val="11"/>
        <color theme="1"/>
        <rFont val="ＭＳ Ｐゴシック"/>
        <family val="3"/>
        <charset val="128"/>
      </rPr>
      <t>瘡候</t>
    </r>
  </si>
  <si>
    <t>58-008（巻35）</t>
  </si>
  <si>
    <t>癬候</t>
  </si>
  <si>
    <t>58-009（巻35）</t>
  </si>
  <si>
    <t>乾癬候</t>
  </si>
  <si>
    <t>58-010（巻35）</t>
  </si>
  <si>
    <t>湿癬候</t>
  </si>
  <si>
    <t>58-011（巻35）</t>
  </si>
  <si>
    <t>風癬侯</t>
  </si>
  <si>
    <t>58-012（巻35）</t>
  </si>
  <si>
    <t>白癬候</t>
  </si>
  <si>
    <t>58-013（巻35）</t>
  </si>
  <si>
    <t>牛癬候</t>
  </si>
  <si>
    <t>58-014（巻35）</t>
  </si>
  <si>
    <t>円癬候</t>
  </si>
  <si>
    <t>58-015（巻35）</t>
  </si>
  <si>
    <t>狗癬候</t>
  </si>
  <si>
    <t>58-016（巻35）</t>
  </si>
  <si>
    <t>雀眼癬候</t>
  </si>
  <si>
    <t>58-017（巻35）</t>
  </si>
  <si>
    <t>刀癬候</t>
  </si>
  <si>
    <t>58-018（巻35）</t>
  </si>
  <si>
    <t>久癬候</t>
  </si>
  <si>
    <t>58-019（巻35）</t>
  </si>
  <si>
    <t>疥候</t>
  </si>
  <si>
    <t>58-020（巻35）</t>
  </si>
  <si>
    <t>乾疥候</t>
  </si>
  <si>
    <t>58-021（巻35）</t>
  </si>
  <si>
    <t>湿疥候</t>
  </si>
  <si>
    <t>58-022（巻35）</t>
  </si>
  <si>
    <t>熱瘡候</t>
  </si>
  <si>
    <t>58-023（巻35）</t>
  </si>
  <si>
    <t>冷瘡候</t>
  </si>
  <si>
    <t>58-024（巻35）</t>
  </si>
  <si>
    <t>疽瘡候</t>
  </si>
  <si>
    <t>58-025（巻35）</t>
  </si>
  <si>
    <t>甲疽候</t>
  </si>
  <si>
    <t>58-026（巻35）</t>
  </si>
  <si>
    <r>
      <rPr>
        <sz val="11"/>
        <color theme="1"/>
        <rFont val="游ゴシック"/>
        <family val="3"/>
        <charset val="136"/>
      </rPr>
      <t>查</t>
    </r>
    <r>
      <rPr>
        <sz val="11"/>
        <color theme="1"/>
        <rFont val="ＭＳ Ｐゴシック"/>
        <family val="3"/>
        <charset val="128"/>
      </rPr>
      <t>疽候</t>
    </r>
  </si>
  <si>
    <t>58-027（巻35）</t>
  </si>
  <si>
    <t>頑疽候</t>
  </si>
  <si>
    <t>58-028（巻35）</t>
  </si>
  <si>
    <t>棖疽候</t>
  </si>
  <si>
    <t>58-029（巻35）</t>
  </si>
  <si>
    <t>月食瘡侯</t>
  </si>
  <si>
    <t>58-030（巻35）</t>
  </si>
  <si>
    <t>天上病候</t>
  </si>
  <si>
    <t>58-031（巻35）</t>
  </si>
  <si>
    <t>甜瘡候</t>
  </si>
  <si>
    <t>58-032（巻35）</t>
  </si>
  <si>
    <t>侵淫瘡候</t>
  </si>
  <si>
    <t>58-033（巻35）</t>
  </si>
  <si>
    <t>反花瘡候</t>
  </si>
  <si>
    <t>58-034（巻35）</t>
  </si>
  <si>
    <t>瘡建候</t>
  </si>
  <si>
    <t>58-035（巻35）</t>
  </si>
  <si>
    <t>王〔音旺〕爛瘡候</t>
  </si>
  <si>
    <t>58-036（巻35）</t>
  </si>
  <si>
    <t>白頭瘡候</t>
  </si>
  <si>
    <t>58-037（巻35）</t>
  </si>
  <si>
    <t>無名瘡候</t>
  </si>
  <si>
    <t>58-038（巻35）</t>
  </si>
  <si>
    <t>猪灰瘡候</t>
  </si>
  <si>
    <t>58-039（巻35）</t>
  </si>
  <si>
    <t>不痛瘡候</t>
  </si>
  <si>
    <t>58-040（巻35）</t>
  </si>
  <si>
    <t>雁瘡候</t>
  </si>
  <si>
    <t>58-041（巻35）</t>
  </si>
  <si>
    <t>蜂窠瘡候</t>
  </si>
  <si>
    <t>58-042（巻35）</t>
  </si>
  <si>
    <t>断咽瘡候</t>
  </si>
  <si>
    <t>58-043（巻35）</t>
  </si>
  <si>
    <t>毒瘡候</t>
  </si>
  <si>
    <t>58-044（巻35）</t>
  </si>
  <si>
    <t>瓠毒瘡候</t>
  </si>
  <si>
    <t>58-045（巻35）</t>
  </si>
  <si>
    <t>晦瘡候</t>
  </si>
  <si>
    <t>58-046（巻35）</t>
  </si>
  <si>
    <t>集瘡候</t>
  </si>
  <si>
    <t>58-047（巻35）</t>
  </si>
  <si>
    <t>屋食瘡候</t>
  </si>
  <si>
    <t>58-048（巻35）</t>
  </si>
  <si>
    <t>烏啄瘡候</t>
  </si>
  <si>
    <t>58-049（巻35）</t>
  </si>
  <si>
    <t>摂領瘡候</t>
  </si>
  <si>
    <t>58-050（巻35）</t>
  </si>
  <si>
    <t>雞督瘡候</t>
  </si>
  <si>
    <t>58-051（巻35）</t>
  </si>
  <si>
    <t>断耳瘡候</t>
  </si>
  <si>
    <t>58-052（巻35）</t>
  </si>
  <si>
    <t>新婦瘡候</t>
  </si>
  <si>
    <t>58-053（巻35）</t>
  </si>
  <si>
    <t>土風瘡候</t>
  </si>
  <si>
    <t>58-054（巻35）</t>
  </si>
  <si>
    <t>逸風瘡候</t>
  </si>
  <si>
    <t>58-055（巻35）</t>
  </si>
  <si>
    <t>甑帯瘡候</t>
  </si>
  <si>
    <t>58-056（巻35）</t>
  </si>
  <si>
    <t>兎囓瘡候</t>
  </si>
  <si>
    <t>58-057（巻35）</t>
  </si>
  <si>
    <t>血瘡候</t>
  </si>
  <si>
    <t>58-058（巻35）</t>
  </si>
  <si>
    <t>瘡中風寒水候</t>
  </si>
  <si>
    <t>58-059（巻35）</t>
  </si>
  <si>
    <t>露敗瘡候</t>
  </si>
  <si>
    <t>58-060（巻35）</t>
  </si>
  <si>
    <t>瘡悪肉候</t>
  </si>
  <si>
    <t>58-061（巻35）</t>
  </si>
  <si>
    <t>瘡差復発候</t>
  </si>
  <si>
    <t>58-062（巻35）</t>
  </si>
  <si>
    <t>漆瘡候</t>
  </si>
  <si>
    <t>58-063（巻35）</t>
  </si>
  <si>
    <t>凍爛腫瘡候</t>
  </si>
  <si>
    <t>58-064（巻35）</t>
  </si>
  <si>
    <t>夏日沸爛瘡候</t>
  </si>
  <si>
    <t>58-065（巻35）</t>
  </si>
  <si>
    <t>湯火瘡侯</t>
  </si>
  <si>
    <t>59-001（巻35）</t>
  </si>
  <si>
    <t>灸瘡急腫痛候</t>
  </si>
  <si>
    <t>59-002（巻35）</t>
  </si>
  <si>
    <t>鍼灸瘡発洪候</t>
  </si>
  <si>
    <t>59-003（巻35）</t>
  </si>
  <si>
    <t>灸瘡久不差候</t>
  </si>
  <si>
    <t>59-004（巻35）</t>
  </si>
  <si>
    <t>馬嚙蹹人候</t>
  </si>
  <si>
    <t>60-001（巻36）</t>
  </si>
  <si>
    <t>馬毒入瘡候</t>
  </si>
  <si>
    <t>60-002（巻36）</t>
  </si>
  <si>
    <t>猘狗嚙候</t>
  </si>
  <si>
    <t>60-003（巻36）</t>
  </si>
  <si>
    <t>狗嚙重発候</t>
  </si>
  <si>
    <t>60-004（巻36）</t>
  </si>
  <si>
    <t>蛇螫候</t>
  </si>
  <si>
    <t>61-001（巻36）</t>
  </si>
  <si>
    <t>蝮蛇螫候</t>
  </si>
  <si>
    <t>61-002（巻36）</t>
  </si>
  <si>
    <t>虺螫侯</t>
  </si>
  <si>
    <t>61-003（巻36）</t>
  </si>
  <si>
    <r>
      <t>青</t>
    </r>
    <r>
      <rPr>
        <sz val="11"/>
        <color theme="1"/>
        <rFont val="游ゴシック"/>
        <family val="3"/>
        <charset val="134"/>
      </rPr>
      <t>蝰</t>
    </r>
    <r>
      <rPr>
        <sz val="11"/>
        <color theme="1"/>
        <rFont val="ＭＳ Ｐゴシック"/>
        <family val="3"/>
        <charset val="128"/>
      </rPr>
      <t>蛇螫候</t>
    </r>
  </si>
  <si>
    <t>61-004（巻36）</t>
  </si>
  <si>
    <t>䖻毒候</t>
  </si>
  <si>
    <t>61-005（巻36）</t>
  </si>
  <si>
    <t>蜂螫候</t>
  </si>
  <si>
    <t>62-001（巻36）</t>
  </si>
  <si>
    <t>蠍螫候</t>
  </si>
  <si>
    <t>62-002（巻36）</t>
  </si>
  <si>
    <t>蠆螫候</t>
  </si>
  <si>
    <t>62-003（巻36）</t>
  </si>
  <si>
    <t>蜈蚣螫候</t>
  </si>
  <si>
    <t>62-004（巻36）</t>
  </si>
  <si>
    <t>蜞蜍著人候</t>
  </si>
  <si>
    <t>62-005（巻36）</t>
  </si>
  <si>
    <t>石蛭螫候</t>
  </si>
  <si>
    <t>62-006（巻36）</t>
  </si>
  <si>
    <t>蚕嚙候</t>
  </si>
  <si>
    <t>62-007（巻36）</t>
  </si>
  <si>
    <t>甘鼠嚙候</t>
  </si>
  <si>
    <t>62-008（巻36）</t>
  </si>
  <si>
    <t>諸魚傷人候</t>
  </si>
  <si>
    <t>62-009（巻36）</t>
  </si>
  <si>
    <t>悪𧍯〔房中切〕嚙候</t>
  </si>
  <si>
    <t>62-010（巻36）</t>
  </si>
  <si>
    <t>狐尿刺候</t>
  </si>
  <si>
    <t>62-011（巻36）</t>
  </si>
  <si>
    <t>蚝蟲螫候</t>
  </si>
  <si>
    <t>62-012（巻36）</t>
  </si>
  <si>
    <t>蠼螋尿候</t>
  </si>
  <si>
    <t>62-013（巻36）</t>
  </si>
  <si>
    <t>入井塚墓毒気候</t>
  </si>
  <si>
    <t>62-014（巻36）</t>
  </si>
  <si>
    <t>金瘡初傷候</t>
  </si>
  <si>
    <t>63-001（巻36）</t>
  </si>
  <si>
    <t>金瘡血不止候</t>
  </si>
  <si>
    <t>63-002（巻36）</t>
  </si>
  <si>
    <t>金瘡内漏候</t>
  </si>
  <si>
    <t>63-003（巻36）</t>
  </si>
  <si>
    <t>毒箭所傷候</t>
  </si>
  <si>
    <t>63-004（巻36）</t>
  </si>
  <si>
    <t>金瘡腸出候</t>
  </si>
  <si>
    <t>63-005（巻36）</t>
  </si>
  <si>
    <t>金瘡腸断候</t>
  </si>
  <si>
    <t>63-006（巻36）</t>
  </si>
  <si>
    <t>金瘡筋急相引痛不得出伸候</t>
  </si>
  <si>
    <t>63-007（巻36）</t>
  </si>
  <si>
    <t>金瘡傷筋断骨候</t>
  </si>
  <si>
    <t>63-008（巻36）</t>
  </si>
  <si>
    <t>箭鏃金刃入肉及骨不出候</t>
  </si>
  <si>
    <t>63-009（巻36）</t>
  </si>
  <si>
    <t>金瘡中風痙候</t>
  </si>
  <si>
    <t>63-010（巻36）</t>
  </si>
  <si>
    <t>金瘡驚腫候</t>
  </si>
  <si>
    <t>63-011（巻36）</t>
  </si>
  <si>
    <t>金瘡因交接血驚出候</t>
  </si>
  <si>
    <t>63-012（巻36）</t>
  </si>
  <si>
    <t>金瘡驚悸候</t>
  </si>
  <si>
    <t>63-013（巻36）</t>
  </si>
  <si>
    <t>金瘡煩候</t>
  </si>
  <si>
    <t>63-014（巻36）</t>
  </si>
  <si>
    <t>金瘡欬候</t>
  </si>
  <si>
    <t>63-015（巻36）</t>
  </si>
  <si>
    <t>金瘡渇候</t>
  </si>
  <si>
    <t>63-016（巻36）</t>
  </si>
  <si>
    <t>金瘡蟲出候</t>
  </si>
  <si>
    <t>63-017（巻36）</t>
  </si>
  <si>
    <t>金瘡着風候</t>
  </si>
  <si>
    <t>63-018（巻36）</t>
  </si>
  <si>
    <t>金瘡着風腫候</t>
  </si>
  <si>
    <t>63-019（巻36）</t>
  </si>
  <si>
    <t>金瘡成癰腫候</t>
  </si>
  <si>
    <t>63-020（巻36）</t>
  </si>
  <si>
    <t>金瘡中風水候</t>
  </si>
  <si>
    <t>63-021（巻36）</t>
  </si>
  <si>
    <t>金瘡下血虚候</t>
  </si>
  <si>
    <t>63-022（巻36）</t>
  </si>
  <si>
    <t>金瘡久不差候</t>
  </si>
  <si>
    <t>63-023（巻36）</t>
  </si>
  <si>
    <t>被打頭破脳出候</t>
  </si>
  <si>
    <t>64-001（巻36）</t>
  </si>
  <si>
    <t>腕折破骨傷筋候</t>
  </si>
  <si>
    <t>64-002（巻36）</t>
  </si>
  <si>
    <t>卒被損瘀血候</t>
  </si>
  <si>
    <t>64-003（巻36）</t>
  </si>
  <si>
    <t>厭迮〔音責〕墜堕内損候</t>
  </si>
  <si>
    <t>64-004（巻36）</t>
  </si>
  <si>
    <t>腕傷初繫縛候</t>
  </si>
  <si>
    <t>64-005（巻36）</t>
  </si>
  <si>
    <t>被損久瘀血候</t>
  </si>
  <si>
    <t>64-006（巻36）</t>
  </si>
  <si>
    <t>腕折中風痙候</t>
  </si>
  <si>
    <t>64-007（巻36）</t>
  </si>
  <si>
    <t>腕折中風腫候</t>
  </si>
  <si>
    <t>64-008（巻36）</t>
  </si>
  <si>
    <t>刺傷中風水候</t>
  </si>
  <si>
    <t>64-009（巻36）</t>
  </si>
  <si>
    <t>風虚労冷候</t>
  </si>
  <si>
    <t>65-001（巻37）</t>
  </si>
  <si>
    <t>風邪驚悸候</t>
  </si>
  <si>
    <t>65-002（巻37）</t>
  </si>
  <si>
    <t>虚汗候</t>
  </si>
  <si>
    <t>65-003（巻37）</t>
  </si>
  <si>
    <t>65-004（巻37）</t>
  </si>
  <si>
    <t>中風口噤候</t>
  </si>
  <si>
    <t>65-005（巻37）</t>
  </si>
  <si>
    <t>角弓反張候</t>
  </si>
  <si>
    <t>65-006（巻37）</t>
  </si>
  <si>
    <t>偏風口喎候</t>
  </si>
  <si>
    <t>65-007（巻37）</t>
  </si>
  <si>
    <t>賊風偏枯候</t>
  </si>
  <si>
    <t>65-008（巻37）</t>
  </si>
  <si>
    <t>風眩候</t>
  </si>
  <si>
    <t>65-009（巻37）</t>
  </si>
  <si>
    <t>癲狂候</t>
  </si>
  <si>
    <t>65-010（巻37）</t>
  </si>
  <si>
    <t>風瘙痒候</t>
  </si>
  <si>
    <t>65-011（巻37）</t>
  </si>
  <si>
    <t>風蠱候</t>
  </si>
  <si>
    <t>65-012（巻37）</t>
  </si>
  <si>
    <t>癩候</t>
  </si>
  <si>
    <t>65-013（巻37）</t>
  </si>
  <si>
    <t>気候</t>
  </si>
  <si>
    <t>65-014（巻37）</t>
  </si>
  <si>
    <t>65-015（巻37）</t>
  </si>
  <si>
    <t>65-016（巻37）</t>
  </si>
  <si>
    <t>腹中痛候</t>
  </si>
  <si>
    <t>65-017（巻37）</t>
  </si>
  <si>
    <t>小腹痛候</t>
  </si>
  <si>
    <t>65-018（巻37）</t>
  </si>
  <si>
    <t>月水不調候</t>
  </si>
  <si>
    <t>65-019（巻37）</t>
  </si>
  <si>
    <t>月水不利候</t>
  </si>
  <si>
    <t>65-020（巻37）</t>
  </si>
  <si>
    <t>月水来腹痛候</t>
  </si>
  <si>
    <t>65-021（巻37）</t>
  </si>
  <si>
    <t>月水不断候</t>
  </si>
  <si>
    <t>65-022（巻37）</t>
  </si>
  <si>
    <t>月水不通候</t>
  </si>
  <si>
    <t>65-023（巻37）</t>
  </si>
  <si>
    <t>帯下候</t>
  </si>
  <si>
    <t>65-024（巻37）</t>
  </si>
  <si>
    <t>帯五色倶下候</t>
  </si>
  <si>
    <t>65-025（巻37）</t>
  </si>
  <si>
    <t>帯下青候</t>
  </si>
  <si>
    <t>65-026（巻37）</t>
  </si>
  <si>
    <t>帯下黄候</t>
  </si>
  <si>
    <t>65-027（巻37）</t>
  </si>
  <si>
    <t>帯下赤候</t>
  </si>
  <si>
    <t>65-028（巻37）</t>
  </si>
  <si>
    <t>帯下白候</t>
  </si>
  <si>
    <t>65-029（巻37）</t>
  </si>
  <si>
    <t>帯下黒候</t>
  </si>
  <si>
    <t>65-030（巻37）</t>
  </si>
  <si>
    <t>帯下月水不利候</t>
  </si>
  <si>
    <t>65-031（巻37）</t>
  </si>
  <si>
    <t>帯下月水不通候</t>
  </si>
  <si>
    <t>65-032（巻37）</t>
  </si>
  <si>
    <t>漏下候</t>
  </si>
  <si>
    <t>65-033（巻38）</t>
  </si>
  <si>
    <t>漏下五色倶下候</t>
  </si>
  <si>
    <t>65-034（巻38）</t>
  </si>
  <si>
    <t>漏下青候</t>
  </si>
  <si>
    <t>65-035（巻38）</t>
  </si>
  <si>
    <t>漏下黄候</t>
  </si>
  <si>
    <t>65-036（巻38）</t>
  </si>
  <si>
    <t>漏下赤候</t>
  </si>
  <si>
    <t>65-037（巻38）</t>
  </si>
  <si>
    <t>漏下白候</t>
  </si>
  <si>
    <t>65-038（巻38）</t>
  </si>
  <si>
    <t>漏下黒候</t>
  </si>
  <si>
    <t>65-039（巻38）</t>
  </si>
  <si>
    <t>崩中候</t>
  </si>
  <si>
    <t>65-040（巻38）</t>
  </si>
  <si>
    <t>白崩候</t>
  </si>
  <si>
    <t>65-041（巻38）</t>
  </si>
  <si>
    <t>崩中五色倶下候</t>
  </si>
  <si>
    <t>65-042（巻38）</t>
  </si>
  <si>
    <t>崩中漏下候</t>
  </si>
  <si>
    <t>65-043（巻38）</t>
  </si>
  <si>
    <t>崩中漏下五色候</t>
  </si>
  <si>
    <t>65-044（巻38）</t>
  </si>
  <si>
    <t>65-045（巻38）</t>
  </si>
  <si>
    <t>癖病候</t>
  </si>
  <si>
    <t>65-046（巻38）</t>
  </si>
  <si>
    <t>65-047（巻38）</t>
  </si>
  <si>
    <t>癥痞候</t>
  </si>
  <si>
    <t>65-048（巻38）</t>
  </si>
  <si>
    <t>八瘕候</t>
  </si>
  <si>
    <t>65-049（巻38）</t>
  </si>
  <si>
    <t>帯下三十六疾候</t>
  </si>
  <si>
    <t>65-050（巻38）</t>
  </si>
  <si>
    <t>無子候</t>
  </si>
  <si>
    <t>65-051（巻38）</t>
  </si>
  <si>
    <t>月水不利无子候</t>
  </si>
  <si>
    <t>65-052（巻39）</t>
  </si>
  <si>
    <t>月水不通无子候</t>
  </si>
  <si>
    <t>65-053（巻39）</t>
  </si>
  <si>
    <t>子蔵冷无子候</t>
  </si>
  <si>
    <t>65-054（巻39）</t>
  </si>
  <si>
    <t>帯下無子候</t>
  </si>
  <si>
    <t>65-055（巻39）</t>
  </si>
  <si>
    <t>結積無子候</t>
  </si>
  <si>
    <t>65-056（巻39）</t>
  </si>
  <si>
    <t>数失子候</t>
  </si>
  <si>
    <t>65-057（巻39）</t>
  </si>
  <si>
    <t>腹満少気候</t>
  </si>
  <si>
    <t>65-058（巻39）</t>
  </si>
  <si>
    <t>胸脇脹満候</t>
  </si>
  <si>
    <t>65-059（巻39）</t>
  </si>
  <si>
    <t>65-060（巻39）</t>
  </si>
  <si>
    <t>煩満候</t>
  </si>
  <si>
    <t>65-061（巻39）</t>
  </si>
  <si>
    <t>身体卒痛候</t>
  </si>
  <si>
    <t>65-062（巻39）</t>
  </si>
  <si>
    <t>左脇痛如刀刺候</t>
  </si>
  <si>
    <t>65-063（巻39）</t>
  </si>
  <si>
    <t>痰候</t>
  </si>
  <si>
    <t>65-064（巻39）</t>
  </si>
  <si>
    <t>嗽候</t>
  </si>
  <si>
    <t>65-065（巻39）</t>
  </si>
  <si>
    <t>咽中如炙肉臠候</t>
  </si>
  <si>
    <t>65-066（巻39）</t>
  </si>
  <si>
    <t>喉痛候</t>
  </si>
  <si>
    <t>65-067（巻39）</t>
  </si>
  <si>
    <t>65-068（巻39）</t>
  </si>
  <si>
    <t>65-069（巻39）</t>
  </si>
  <si>
    <t>口舌出血候</t>
  </si>
  <si>
    <t>65-070（巻39）</t>
  </si>
  <si>
    <t>65-071（巻39）</t>
  </si>
  <si>
    <t>金瘡敗壊候</t>
  </si>
  <si>
    <t>65-072（巻39）</t>
  </si>
  <si>
    <t>65-073（巻39）</t>
  </si>
  <si>
    <t>耳聾風腫候</t>
  </si>
  <si>
    <t>65-074（巻39）</t>
  </si>
  <si>
    <t>眼赤候</t>
  </si>
  <si>
    <t>65-075（巻39）</t>
  </si>
  <si>
    <t>風眩鼻塞候</t>
  </si>
  <si>
    <t>65-076（巻39）</t>
  </si>
  <si>
    <t>65-077（巻39）</t>
  </si>
  <si>
    <t>面黒皯候</t>
  </si>
  <si>
    <t>65-078（巻39）</t>
  </si>
  <si>
    <t>面黒子候</t>
  </si>
  <si>
    <t>65-079（巻39）</t>
  </si>
  <si>
    <t>蛇皮候</t>
  </si>
  <si>
    <t>65-080（巻39）</t>
  </si>
  <si>
    <t>65-081（巻39）</t>
  </si>
  <si>
    <t>白禿</t>
  </si>
  <si>
    <t>65-082（巻39）</t>
  </si>
  <si>
    <t>耳後附骨癰候</t>
  </si>
  <si>
    <t>65-083（巻39）</t>
  </si>
  <si>
    <t>腫満水気候</t>
  </si>
  <si>
    <t>65-084（巻39）</t>
  </si>
  <si>
    <t>血分候</t>
  </si>
  <si>
    <t>65-085（巻39）</t>
  </si>
  <si>
    <t>卒腫候</t>
  </si>
  <si>
    <t>65-086（巻39）</t>
  </si>
  <si>
    <t>赤流腫候</t>
  </si>
  <si>
    <t>65-087（巻39）</t>
  </si>
  <si>
    <t>瘀血候</t>
  </si>
  <si>
    <t>65-088（巻39）</t>
  </si>
  <si>
    <t>65-089（巻39）</t>
  </si>
  <si>
    <t>65-090（巻39）</t>
  </si>
  <si>
    <t>瘧候</t>
  </si>
  <si>
    <t>65-091（巻39）</t>
  </si>
  <si>
    <t>65-092（巻40）</t>
  </si>
  <si>
    <t>65-093（巻40）</t>
  </si>
  <si>
    <t>嬖子小児注車船候</t>
  </si>
  <si>
    <t>65-094（巻40）</t>
  </si>
  <si>
    <t>与鬼交通候</t>
  </si>
  <si>
    <t>65-095（巻40）</t>
  </si>
  <si>
    <t>夢与鬼交通候</t>
  </si>
  <si>
    <t>65-096（巻40）</t>
  </si>
  <si>
    <t>脚気痛弱候</t>
  </si>
  <si>
    <t>65-097（巻40）</t>
  </si>
  <si>
    <t>65-098（巻40）</t>
  </si>
  <si>
    <t>淋候</t>
  </si>
  <si>
    <t>65-099（巻40）</t>
  </si>
  <si>
    <t>65-100（巻40）</t>
  </si>
  <si>
    <t>65-101（巻40）</t>
  </si>
  <si>
    <t>小便不利候</t>
  </si>
  <si>
    <t>65-102（巻40）</t>
  </si>
  <si>
    <t>小便不通侯</t>
  </si>
  <si>
    <t>65-103（巻40）</t>
  </si>
  <si>
    <t>65-104（巻40）</t>
  </si>
  <si>
    <t>大小便不利</t>
  </si>
  <si>
    <t>65-105（巻40）</t>
  </si>
  <si>
    <t>大小便不通候</t>
  </si>
  <si>
    <t>65-106（巻40）</t>
  </si>
  <si>
    <t>65-107（巻40）</t>
  </si>
  <si>
    <t>65-108（巻40）</t>
  </si>
  <si>
    <t>下利候</t>
  </si>
  <si>
    <t>65-109（巻40）</t>
  </si>
  <si>
    <t>帯利候</t>
  </si>
  <si>
    <t>65-110（巻40）</t>
  </si>
  <si>
    <t>血利候</t>
  </si>
  <si>
    <t>65-111（巻40）</t>
  </si>
  <si>
    <t>陰痒候</t>
  </si>
  <si>
    <t>65-112（巻40）</t>
  </si>
  <si>
    <t>65-113（巻40）</t>
  </si>
  <si>
    <t>陰腫候</t>
  </si>
  <si>
    <t>65-114（巻40）</t>
  </si>
  <si>
    <t>陰痛候</t>
  </si>
  <si>
    <t>65-115（巻40）</t>
  </si>
  <si>
    <t>陰瘡候</t>
  </si>
  <si>
    <t>65-116（巻40）</t>
  </si>
  <si>
    <t>陰挺出下脱候</t>
  </si>
  <si>
    <t>65-117（巻40）</t>
  </si>
  <si>
    <t>陰冷候</t>
  </si>
  <si>
    <t>65-118（巻40）</t>
  </si>
  <si>
    <t>陰中生息肉候</t>
  </si>
  <si>
    <t>65-119（巻40）</t>
  </si>
  <si>
    <t>㿉候</t>
  </si>
  <si>
    <t>65-120（巻40）</t>
  </si>
  <si>
    <t>痔病候</t>
  </si>
  <si>
    <t>65-121（巻40）</t>
  </si>
  <si>
    <t>寸白候</t>
  </si>
  <si>
    <t>65-122（巻40）</t>
  </si>
  <si>
    <t>陰臰候</t>
  </si>
  <si>
    <t>65-123（巻40）</t>
  </si>
  <si>
    <t>尿血候</t>
  </si>
  <si>
    <t>65-124（巻40）</t>
  </si>
  <si>
    <t>大便血候</t>
  </si>
  <si>
    <t>65-125（巻40）</t>
  </si>
  <si>
    <t>失精候</t>
  </si>
  <si>
    <t>65-126（巻40）</t>
  </si>
  <si>
    <t>乳腫候</t>
  </si>
  <si>
    <t>65-127（巻40）</t>
  </si>
  <si>
    <t>妬乳候</t>
  </si>
  <si>
    <t>65-128（巻40）</t>
  </si>
  <si>
    <t>乳癰候</t>
  </si>
  <si>
    <t>65-129（巻40）</t>
  </si>
  <si>
    <t>発乳潰後候</t>
  </si>
  <si>
    <t>65-130（巻40）</t>
  </si>
  <si>
    <t>乳瘡候</t>
  </si>
  <si>
    <t>65-131（巻40）</t>
  </si>
  <si>
    <t>疽発乳候</t>
  </si>
  <si>
    <t>65-132（巻40）</t>
  </si>
  <si>
    <t>乳結核候</t>
  </si>
  <si>
    <t>65-133（巻40）</t>
  </si>
  <si>
    <t>65-134（巻40）</t>
  </si>
  <si>
    <t>発背候</t>
  </si>
  <si>
    <t>65-135（巻40）</t>
  </si>
  <si>
    <t>改訾候</t>
  </si>
  <si>
    <t>65-136（巻40）</t>
  </si>
  <si>
    <t>発乳後渇候</t>
  </si>
  <si>
    <t>65-137（巻40）</t>
  </si>
  <si>
    <t>発乳下利候</t>
  </si>
  <si>
    <t>65-138（巻40）</t>
  </si>
  <si>
    <t>発乳久不差候</t>
  </si>
  <si>
    <t>65-139（巻40）</t>
  </si>
  <si>
    <t>発乳餘核不消候</t>
  </si>
  <si>
    <t>65-140（巻40）</t>
  </si>
  <si>
    <t>発乳瘻候</t>
  </si>
  <si>
    <t>65-141（巻40）</t>
  </si>
  <si>
    <t>任娠候</t>
  </si>
  <si>
    <t>66-001（巻41）</t>
  </si>
  <si>
    <t>任娠悪阻候</t>
  </si>
  <si>
    <t>66-002（巻41）</t>
  </si>
  <si>
    <t>任娠転女為男候</t>
  </si>
  <si>
    <t>66-003（巻41）</t>
  </si>
  <si>
    <t>任娠養胎候</t>
  </si>
  <si>
    <t>66-004（巻41）</t>
  </si>
  <si>
    <t>任娠禁忌候</t>
  </si>
  <si>
    <t>66-005（巻41）</t>
  </si>
  <si>
    <t>任娠胎間水気子満体腫候</t>
  </si>
  <si>
    <t>66-006（巻41）</t>
  </si>
  <si>
    <t>任娠漏胞候</t>
  </si>
  <si>
    <t>66-007（巻41）</t>
  </si>
  <si>
    <t>任娠胎動候</t>
  </si>
  <si>
    <t>66-008（巻41）</t>
  </si>
  <si>
    <t>任娠僵仆胎上搶心下血候</t>
  </si>
  <si>
    <t>66-009（巻41）</t>
  </si>
  <si>
    <t>任娠胎死腹中候</t>
  </si>
  <si>
    <t>66-010（巻41）</t>
  </si>
  <si>
    <t>任娠腹痛侯</t>
  </si>
  <si>
    <t>66-011（巻41）</t>
  </si>
  <si>
    <t>任娠心痛候</t>
  </si>
  <si>
    <t>66-012（巻41）</t>
  </si>
  <si>
    <t>任娠心腹痛候</t>
  </si>
  <si>
    <t>66-013（巻41）</t>
  </si>
  <si>
    <t>任娠腰痛候</t>
  </si>
  <si>
    <t>66-014（巻41）</t>
  </si>
  <si>
    <t>任娠腰腹痛候</t>
  </si>
  <si>
    <t>66-015（巻41）</t>
  </si>
  <si>
    <t>任娠小腹痛候</t>
  </si>
  <si>
    <t>66-016（巻41）</t>
  </si>
  <si>
    <t>任姐娠卒下血候</t>
  </si>
  <si>
    <t>66-017（巻41）</t>
  </si>
  <si>
    <t>任娠吐血候</t>
  </si>
  <si>
    <t>66-018（巻41）</t>
  </si>
  <si>
    <t>任娠尿血候</t>
  </si>
  <si>
    <t>66-019（巻41）</t>
  </si>
  <si>
    <t>任娠数堕胎候</t>
  </si>
  <si>
    <t>66-020（巻41）</t>
  </si>
  <si>
    <t>任娠傷寒候</t>
  </si>
  <si>
    <t>66-021（巻42）</t>
  </si>
  <si>
    <t>任娠傷寒後復候</t>
  </si>
  <si>
    <t>66-022（巻42）</t>
  </si>
  <si>
    <t>任娠時気候</t>
  </si>
  <si>
    <t>66-023（巻42）</t>
  </si>
  <si>
    <t>任妊温病候</t>
  </si>
  <si>
    <t>66-024（巻42）</t>
  </si>
  <si>
    <t>任娠熱病候</t>
  </si>
  <si>
    <t>66-025（巻42）</t>
  </si>
  <si>
    <t>任娠寒熱候</t>
  </si>
  <si>
    <t>66-026（巻42）</t>
  </si>
  <si>
    <t>任娠瘧候</t>
  </si>
  <si>
    <t>66-027（巻42）</t>
  </si>
  <si>
    <t>任娠下利候</t>
  </si>
  <si>
    <t>66-028（巻42）</t>
  </si>
  <si>
    <t>任娠滞利候</t>
  </si>
  <si>
    <t>66-029（巻42）</t>
  </si>
  <si>
    <t>任娠胸脇支満候</t>
  </si>
  <si>
    <t>66-030（巻42）</t>
  </si>
  <si>
    <t>任娠痰候</t>
  </si>
  <si>
    <t>66-031（巻42）</t>
  </si>
  <si>
    <t>任娠子煩候</t>
  </si>
  <si>
    <t>66-032（巻42）</t>
  </si>
  <si>
    <t>任娠霍乱候</t>
  </si>
  <si>
    <t>66-033（巻42）</t>
  </si>
  <si>
    <t>任娠中悪候</t>
  </si>
  <si>
    <t>66-034（巻42）</t>
  </si>
  <si>
    <t>任娠腹満候</t>
  </si>
  <si>
    <t>66-035（巻42）</t>
  </si>
  <si>
    <t>任娠欬嗽候</t>
  </si>
  <si>
    <t>66-036（巻42）</t>
  </si>
  <si>
    <t>任娠胸痺候</t>
  </si>
  <si>
    <t>66-037（巻42）</t>
  </si>
  <si>
    <t>任娠咽喉身体著毒腫候</t>
  </si>
  <si>
    <t>66-038（巻42）</t>
  </si>
  <si>
    <t>任振中蠱毒候</t>
  </si>
  <si>
    <t>66-039（巻42）</t>
  </si>
  <si>
    <t>任娠飛尸入腹候</t>
  </si>
  <si>
    <t>66-040（巻42）</t>
  </si>
  <si>
    <t>任娠患□（子？）淋候</t>
  </si>
  <si>
    <t>66-041（巻42）</t>
  </si>
  <si>
    <t>任娠大小便不通候</t>
  </si>
  <si>
    <t>66-042（巻42）</t>
  </si>
  <si>
    <t>任娠大便不通候</t>
  </si>
  <si>
    <t>66-043（巻42）</t>
  </si>
  <si>
    <t>任娠大小便不利候</t>
  </si>
  <si>
    <t>66-044（巻42）</t>
  </si>
  <si>
    <t>任娠小便利候</t>
  </si>
  <si>
    <t>66-045（巻42）</t>
  </si>
  <si>
    <t>任娠小便数候</t>
  </si>
  <si>
    <t>66-046（巻42）</t>
  </si>
  <si>
    <t>任娠小便不利候</t>
  </si>
  <si>
    <t>66-047（巻42）</t>
  </si>
  <si>
    <t>任娠小便不通候</t>
  </si>
  <si>
    <t>66-048（巻42）</t>
  </si>
  <si>
    <t>任娠驚胎候</t>
  </si>
  <si>
    <t>66-049（巻42）</t>
  </si>
  <si>
    <t>任娠中風候</t>
  </si>
  <si>
    <t>66-050（巻42）</t>
  </si>
  <si>
    <t>任娠痙候</t>
  </si>
  <si>
    <t>66-051（巻42）</t>
  </si>
  <si>
    <t>任娠鬼胎候</t>
  </si>
  <si>
    <t>66-052（巻42）</t>
  </si>
  <si>
    <t>任娠両胎一生一死候</t>
  </si>
  <si>
    <t>66-053（巻42）</t>
  </si>
  <si>
    <t>任娠胎痿燥候</t>
  </si>
  <si>
    <t>66-054（巻42）</t>
  </si>
  <si>
    <t>任娠過年久不産候</t>
  </si>
  <si>
    <t>66-055（巻42）</t>
  </si>
  <si>
    <t>任娠堕胎後血出不止候</t>
  </si>
  <si>
    <t>66-056（巻42）</t>
  </si>
  <si>
    <t>任娠堕胎後血不出候</t>
  </si>
  <si>
    <t>66-057（巻42）</t>
  </si>
  <si>
    <t>任娠堕胎衣不出候</t>
  </si>
  <si>
    <t>66-058（巻42）</t>
  </si>
  <si>
    <t>任娠堕胎後腹痛虚乏候</t>
  </si>
  <si>
    <t>66-059（巻42）</t>
  </si>
  <si>
    <t>任娠堕胎後著風候</t>
  </si>
  <si>
    <t>66-060（巻42）</t>
  </si>
  <si>
    <t>任娠欲去胎候</t>
  </si>
  <si>
    <t>66-061（巻42）</t>
  </si>
  <si>
    <t>産法</t>
  </si>
  <si>
    <t>67-001（巻43）</t>
  </si>
  <si>
    <t>産防運法</t>
  </si>
  <si>
    <t>67-002（巻43）</t>
  </si>
  <si>
    <t>胞衣不出候</t>
  </si>
  <si>
    <t>67-003（巻43）</t>
  </si>
  <si>
    <t>産難候</t>
  </si>
  <si>
    <t>68-001（巻43）</t>
  </si>
  <si>
    <t>横産候</t>
  </si>
  <si>
    <t>68-002（巻43）</t>
  </si>
  <si>
    <t>欠1</t>
  </si>
  <si>
    <t>逆産候</t>
  </si>
  <si>
    <t>68-003（巻43）</t>
  </si>
  <si>
    <t>産子上逼心候</t>
  </si>
  <si>
    <t>68-004（巻43）</t>
  </si>
  <si>
    <t>産子但趨後孔候</t>
  </si>
  <si>
    <t>68-005（巻43）</t>
  </si>
  <si>
    <t>産已死而子不出候</t>
  </si>
  <si>
    <t>68-006（巻43）</t>
  </si>
  <si>
    <t>産難子死腹中候</t>
  </si>
  <si>
    <t>68-007（巻43）</t>
  </si>
  <si>
    <t>産後血運悶候</t>
  </si>
  <si>
    <t>69-001（巻43）</t>
  </si>
  <si>
    <t>産後血露不尽候</t>
  </si>
  <si>
    <t>69-002（巻43）</t>
  </si>
  <si>
    <t>産後悪露不尽腹痛候</t>
  </si>
  <si>
    <t>69-003（巻43）</t>
  </si>
  <si>
    <t>産後血上搶心痛候</t>
  </si>
  <si>
    <t>69-004（巻43）</t>
  </si>
  <si>
    <t>半産候</t>
  </si>
  <si>
    <t>69-005（巻43）</t>
  </si>
  <si>
    <t>産後血瘕痛候</t>
  </si>
  <si>
    <t>69-006（巻43）</t>
  </si>
  <si>
    <t>産後風虚腫候</t>
  </si>
  <si>
    <t>69-007（巻43）</t>
  </si>
  <si>
    <t>産後腹中痛候</t>
  </si>
  <si>
    <t>69-008（巻43）</t>
  </si>
  <si>
    <t>産後心腹痛候</t>
  </si>
  <si>
    <t>69-009（巻43）</t>
  </si>
  <si>
    <t>産後心痛候</t>
  </si>
  <si>
    <t>69-010（巻43）</t>
  </si>
  <si>
    <t>産後小腹痛候</t>
  </si>
  <si>
    <t>69-011（巻43）</t>
  </si>
  <si>
    <t>産後腰痛候</t>
  </si>
  <si>
    <t>69-012（巻43）</t>
  </si>
  <si>
    <t>産後両脇腹満痛候</t>
  </si>
  <si>
    <t>69-013（巻43）</t>
  </si>
  <si>
    <t>産後虚煩短気候</t>
  </si>
  <si>
    <t>69-014（巻43）</t>
  </si>
  <si>
    <t>産後上気候</t>
  </si>
  <si>
    <t>69-015（巻43）</t>
  </si>
  <si>
    <t>産後心虚候</t>
  </si>
  <si>
    <t>69-016（巻43）</t>
  </si>
  <si>
    <t>産後虚煩候</t>
  </si>
  <si>
    <t>69-017（巻43）</t>
  </si>
  <si>
    <t>産後虚熱候</t>
  </si>
  <si>
    <t>69-018（巻43）</t>
  </si>
  <si>
    <t>産後虚羸候</t>
  </si>
  <si>
    <t>69-019（巻43）</t>
  </si>
  <si>
    <t>産後風冷虚労候</t>
  </si>
  <si>
    <t>69-020（巻43）</t>
  </si>
  <si>
    <t>産後汗出不止候</t>
  </si>
  <si>
    <t>69-021（巻43）</t>
  </si>
  <si>
    <t>産後汗血候</t>
  </si>
  <si>
    <t>69-022（巻43）</t>
  </si>
  <si>
    <t>産後虚渇侯</t>
  </si>
  <si>
    <t>69-023（巻43）</t>
  </si>
  <si>
    <t>産後餘疾候</t>
  </si>
  <si>
    <t>69-024（巻43）</t>
  </si>
  <si>
    <t>産後中風候</t>
  </si>
  <si>
    <t>69-025（巻43）</t>
  </si>
  <si>
    <t>産後中風口噤候</t>
  </si>
  <si>
    <t>69-026（巻43）</t>
  </si>
  <si>
    <t>産後中風痙候</t>
  </si>
  <si>
    <t>69-027（巻43）</t>
  </si>
  <si>
    <t>産後中柔風候</t>
  </si>
  <si>
    <t>69-028（巻43）</t>
  </si>
  <si>
    <t>産後中風不随候</t>
  </si>
  <si>
    <t>69-029（巻43）</t>
  </si>
  <si>
    <t>産後風虚癲狂候</t>
  </si>
  <si>
    <t>69-030（巻43）</t>
  </si>
  <si>
    <t>産後月水不利候</t>
  </si>
  <si>
    <t>69-031（巻44）</t>
  </si>
  <si>
    <t>産後月水不調候</t>
  </si>
  <si>
    <t>69-032（巻44）</t>
  </si>
  <si>
    <t>産後月水不通候</t>
  </si>
  <si>
    <t>69-033（巻44）</t>
  </si>
  <si>
    <t>産後帯下候</t>
  </si>
  <si>
    <t>69-034（巻44）</t>
  </si>
  <si>
    <t>産後崩中悪露不尽候</t>
  </si>
  <si>
    <t>69-035（巻44）</t>
  </si>
  <si>
    <t>産後利候</t>
  </si>
  <si>
    <t>69-036（巻44）</t>
  </si>
  <si>
    <t>産後利腫侯</t>
  </si>
  <si>
    <t>69-037（巻44）</t>
  </si>
  <si>
    <t>産後虚冷洞利候</t>
  </si>
  <si>
    <t>69-038（巻44）</t>
  </si>
  <si>
    <t>産後滞利候</t>
  </si>
  <si>
    <t>69-039（巻44）</t>
  </si>
  <si>
    <t>産後冷熱利候</t>
  </si>
  <si>
    <t>69-040（巻44）</t>
  </si>
  <si>
    <t>産後客熱利候</t>
  </si>
  <si>
    <t>69-041（巻44）</t>
  </si>
  <si>
    <t>産後赤利候</t>
  </si>
  <si>
    <t>69-042（巻44）</t>
  </si>
  <si>
    <t>産後陰下脱候</t>
  </si>
  <si>
    <t>69-043（巻44）</t>
  </si>
  <si>
    <t>産後陰道痛腫候</t>
  </si>
  <si>
    <t>69-044（巻44）</t>
  </si>
  <si>
    <t>産後陰道開候</t>
  </si>
  <si>
    <t>69-045（巻44）</t>
  </si>
  <si>
    <t>産後遺尿候</t>
  </si>
  <si>
    <t>69-046（巻44）</t>
  </si>
  <si>
    <t>産後淋候</t>
  </si>
  <si>
    <t>69-047（巻44）</t>
  </si>
  <si>
    <t>産後渇利候</t>
  </si>
  <si>
    <t>69-048（巻44）</t>
  </si>
  <si>
    <t>産後小便数候</t>
  </si>
  <si>
    <t>69-049（巻44）</t>
  </si>
  <si>
    <t>産後尿血候</t>
  </si>
  <si>
    <t>69-050（巻44）</t>
  </si>
  <si>
    <t>産後大小便血候</t>
  </si>
  <si>
    <t>69-051（巻44）</t>
  </si>
  <si>
    <t>産後大小便不通候</t>
  </si>
  <si>
    <t>69-052（巻44）</t>
  </si>
  <si>
    <t>産後大便不通候</t>
  </si>
  <si>
    <t>69-053（巻44）</t>
  </si>
  <si>
    <t>産後小便不通候</t>
  </si>
  <si>
    <t>69-054（巻44）</t>
  </si>
  <si>
    <t>産後小便難候</t>
  </si>
  <si>
    <t>69-055（巻44）</t>
  </si>
  <si>
    <t>産後嘔候</t>
  </si>
  <si>
    <t>69-056（巻44）</t>
  </si>
  <si>
    <t>産後欬嗽候</t>
  </si>
  <si>
    <t>69-057（巻44）</t>
  </si>
  <si>
    <t>産後時気熱病候</t>
  </si>
  <si>
    <t>69-058（巻44）</t>
  </si>
  <si>
    <t>産後傷寒候</t>
  </si>
  <si>
    <t>69-059（巻44）</t>
  </si>
  <si>
    <t>産後寒熱候</t>
  </si>
  <si>
    <t>69-060（巻44）</t>
  </si>
  <si>
    <t>産後瘧候</t>
  </si>
  <si>
    <t>69-061（巻44）</t>
  </si>
  <si>
    <t>産後積聚候</t>
  </si>
  <si>
    <t>69-062（巻44）</t>
  </si>
  <si>
    <t>産後癥候</t>
  </si>
  <si>
    <t>69-063（巻44）</t>
  </si>
  <si>
    <t>産後癖候</t>
  </si>
  <si>
    <t>69-064（巻44）</t>
  </si>
  <si>
    <t>産後内極七病候</t>
  </si>
  <si>
    <t>69-065（巻44）</t>
  </si>
  <si>
    <t>産後目瞑候</t>
  </si>
  <si>
    <t>69-066（巻44）</t>
  </si>
  <si>
    <t>産後耳聾候</t>
  </si>
  <si>
    <t>69-067（巻44）</t>
  </si>
  <si>
    <t>産後虚熱口生瘡候</t>
  </si>
  <si>
    <t>69-068（巻44）</t>
  </si>
  <si>
    <t>産後身生瘡候</t>
  </si>
  <si>
    <t>69-069（巻44）</t>
  </si>
  <si>
    <t>産後乳無汁候</t>
  </si>
  <si>
    <t>69-070（巻44）</t>
  </si>
  <si>
    <t>産後乳汁溢候</t>
  </si>
  <si>
    <t>69-071（巻44）</t>
  </si>
  <si>
    <t>養小児候</t>
  </si>
  <si>
    <t>70-001（巻45）</t>
  </si>
  <si>
    <t>変蒸候</t>
  </si>
  <si>
    <t>70-002（巻45）</t>
  </si>
  <si>
    <t>温壮候</t>
  </si>
  <si>
    <t>70-003（巻45）</t>
  </si>
  <si>
    <t>壮熱候</t>
  </si>
  <si>
    <t>70-004（巻45）</t>
  </si>
  <si>
    <t>驚候</t>
  </si>
  <si>
    <t>70-005（巻45）</t>
  </si>
  <si>
    <t>欲発癇候</t>
  </si>
  <si>
    <t>70-006（巻45）</t>
  </si>
  <si>
    <t>癇候</t>
  </si>
  <si>
    <t>70-007（巻45）</t>
  </si>
  <si>
    <t>発癇差後身体頭面悉腫満候</t>
  </si>
  <si>
    <t>70-008（巻45）</t>
  </si>
  <si>
    <t>発癇差後六七歳不能語候</t>
  </si>
  <si>
    <t>70-009（巻45）</t>
  </si>
  <si>
    <t>驚癇候</t>
  </si>
  <si>
    <t>70-010（巻45）</t>
  </si>
  <si>
    <t>風癇候</t>
  </si>
  <si>
    <t>70-011（巻45）</t>
  </si>
  <si>
    <t>患癇差後更発候</t>
  </si>
  <si>
    <t>70-012（巻45）</t>
  </si>
  <si>
    <t>70-013（巻45）</t>
  </si>
  <si>
    <t>傷寒解肌発汗候</t>
  </si>
  <si>
    <t>70-014（巻45）</t>
  </si>
  <si>
    <t>傷寒挟実壮熱候</t>
  </si>
  <si>
    <t>70-015（巻45）</t>
  </si>
  <si>
    <t>傷寒兼驚候</t>
  </si>
  <si>
    <t>70-016（巻45）</t>
  </si>
  <si>
    <t>傷寒大小便不通候</t>
  </si>
  <si>
    <t>70-017（巻45）</t>
  </si>
  <si>
    <t>傷寒腹満候</t>
  </si>
  <si>
    <t>70-018（巻45）</t>
  </si>
  <si>
    <t>70-019（巻45）</t>
  </si>
  <si>
    <t>傷寒嗽候</t>
  </si>
  <si>
    <t>70-020（巻45）</t>
  </si>
  <si>
    <t>傷寒後嗽候</t>
  </si>
  <si>
    <t>70-021（巻45）</t>
  </si>
  <si>
    <t>傷寒汗出候</t>
  </si>
  <si>
    <t>70-022（巻45）</t>
  </si>
  <si>
    <t>傷寒餘熱往来候</t>
  </si>
  <si>
    <t>70-023（巻45）</t>
  </si>
  <si>
    <t>傷寒已得下後熱不除候</t>
  </si>
  <si>
    <t>70-024（巻45）</t>
  </si>
  <si>
    <t>傷寒嘔侯</t>
  </si>
  <si>
    <t>70-025（巻45）</t>
  </si>
  <si>
    <t>傷寒熱渇候</t>
  </si>
  <si>
    <t>70-026（巻45）</t>
  </si>
  <si>
    <t>傷寒口生瘡候</t>
  </si>
  <si>
    <t>70-027（巻45）</t>
  </si>
  <si>
    <t>傷寒鼻衄候</t>
  </si>
  <si>
    <t>70-028（巻45）</t>
  </si>
  <si>
    <t>傷寒後下利候</t>
  </si>
  <si>
    <t>70-029（巻45）</t>
  </si>
  <si>
    <t>時気病候</t>
  </si>
  <si>
    <t>70-030（巻46）</t>
  </si>
  <si>
    <t>天行病発黄候</t>
  </si>
  <si>
    <t>70-031（巻46）</t>
  </si>
  <si>
    <t>時気腹満候</t>
  </si>
  <si>
    <t>70-032（巻46）</t>
  </si>
  <si>
    <t>時気病結熱候</t>
  </si>
  <si>
    <t>70-033（巻46）</t>
  </si>
  <si>
    <t>敗時気病候</t>
  </si>
  <si>
    <t>70-034（巻46）</t>
  </si>
  <si>
    <t>時気病兼瘧候</t>
  </si>
  <si>
    <t>70-035（巻46）</t>
  </si>
  <si>
    <t>時気病得吐下後猶熱候</t>
  </si>
  <si>
    <t>70-036（巻46）</t>
  </si>
  <si>
    <t>時気病後不嗜食面青候</t>
  </si>
  <si>
    <t>70-037（巻46）</t>
  </si>
  <si>
    <t>時気病発復候</t>
  </si>
  <si>
    <t>70-038（巻46）</t>
  </si>
  <si>
    <t>70-039（巻46）</t>
  </si>
  <si>
    <t>70-040（巻46）</t>
  </si>
  <si>
    <t>温病鼻衄侯</t>
  </si>
  <si>
    <t>70-041（巻46）</t>
  </si>
  <si>
    <t>温病胸結候</t>
  </si>
  <si>
    <t>70-042（巻46）</t>
  </si>
  <si>
    <t>患班毒病候</t>
  </si>
  <si>
    <t>70-043（巻46）</t>
  </si>
  <si>
    <t>70-044（巻46）</t>
  </si>
  <si>
    <t>黄疸病候</t>
  </si>
  <si>
    <t>70-045（巻46）</t>
  </si>
  <si>
    <t>胎疸候</t>
  </si>
  <si>
    <t>70-046（巻46）</t>
  </si>
  <si>
    <t>70-047（巻46）</t>
  </si>
  <si>
    <t>瘧後餘熱候</t>
  </si>
  <si>
    <t>70-048（巻46）</t>
  </si>
  <si>
    <t>患瘡後脇結硬候</t>
  </si>
  <si>
    <t>70-049（巻46）</t>
  </si>
  <si>
    <t>瘧後内熱渇引飲候</t>
  </si>
  <si>
    <t>70-050（巻46）</t>
  </si>
  <si>
    <t>70-051（巻46）</t>
  </si>
  <si>
    <t>寒熱往来五蔵煩満候</t>
  </si>
  <si>
    <t>70-052（巻46）</t>
  </si>
  <si>
    <t>寒熱往来腹痛候</t>
  </si>
  <si>
    <t>70-053（巻46）</t>
  </si>
  <si>
    <t>寒熱結実候</t>
  </si>
  <si>
    <t>70-054（巻46）</t>
  </si>
  <si>
    <t>寒熱往来食不消候</t>
  </si>
  <si>
    <t>70-055（巻46）</t>
  </si>
  <si>
    <t>寒熱往来能食不生肌肉候</t>
  </si>
  <si>
    <t>70-056（巻46）</t>
  </si>
  <si>
    <t>胃中有熱候</t>
  </si>
  <si>
    <t>70-057（巻46）</t>
  </si>
  <si>
    <t>熱煩候</t>
  </si>
  <si>
    <t>70-058（巻46）</t>
  </si>
  <si>
    <t>熱渇候</t>
  </si>
  <si>
    <t>70-059（巻46）</t>
  </si>
  <si>
    <t>中客忤候</t>
  </si>
  <si>
    <t>70-060（巻46）</t>
  </si>
  <si>
    <t>為鬼所持候</t>
  </si>
  <si>
    <t>70-061（巻46）</t>
  </si>
  <si>
    <t>70-062（巻46）</t>
  </si>
  <si>
    <t>70-063（巻46）</t>
  </si>
  <si>
    <t>注侯</t>
  </si>
  <si>
    <t>70-064（巻47）</t>
  </si>
  <si>
    <t>70-065（巻47）</t>
  </si>
  <si>
    <t>70-066（巻47）</t>
  </si>
  <si>
    <t>70-067（巻47）</t>
  </si>
  <si>
    <t>70-068（巻47）</t>
  </si>
  <si>
    <t>70-069（巻47）</t>
  </si>
  <si>
    <t>吐利候</t>
  </si>
  <si>
    <t>70-070（巻47）</t>
  </si>
  <si>
    <t>服湯中毒毒気吐下候</t>
  </si>
  <si>
    <t>70-071（巻47）</t>
  </si>
  <si>
    <t>嘔吐逆候</t>
  </si>
  <si>
    <t>70-072（巻47）</t>
  </si>
  <si>
    <t>70-073（巻47）</t>
  </si>
  <si>
    <t>70-074（巻47）</t>
  </si>
  <si>
    <t>難乳候</t>
    <phoneticPr fontId="6"/>
  </si>
  <si>
    <t>70-075（巻47）</t>
  </si>
  <si>
    <t>吐哯候</t>
  </si>
  <si>
    <t>70-076（巻47）</t>
  </si>
  <si>
    <t>百病候</t>
  </si>
  <si>
    <t>70-077（巻47）</t>
  </si>
  <si>
    <t>頭身喜汗出候</t>
  </si>
  <si>
    <t>70-078（巻47）</t>
  </si>
  <si>
    <t>盗汗候</t>
  </si>
  <si>
    <t>70-079（巻47）</t>
  </si>
  <si>
    <t>70-080（巻47）</t>
  </si>
  <si>
    <t>胸鬲有塞候</t>
  </si>
  <si>
    <t>70-081（巻47）</t>
  </si>
  <si>
    <t>癥瘕癖結候</t>
  </si>
  <si>
    <t>70-082（巻47）</t>
  </si>
  <si>
    <t>否結候</t>
  </si>
  <si>
    <t>70-083（巻47）</t>
  </si>
  <si>
    <t>70-084（巻47）</t>
  </si>
  <si>
    <t>傷飽候</t>
  </si>
  <si>
    <t>70-085（巻47）</t>
  </si>
  <si>
    <t>食不知飽候</t>
  </si>
  <si>
    <t>70-086（巻47）</t>
  </si>
  <si>
    <t>晡露候</t>
  </si>
  <si>
    <t>70-087（巻47）</t>
  </si>
  <si>
    <t>腹丁奚候</t>
  </si>
  <si>
    <t>70-088（巻47）</t>
  </si>
  <si>
    <t>洞泄下利候</t>
  </si>
  <si>
    <t>70-089（巻47）</t>
  </si>
  <si>
    <t>利後虚羸候</t>
  </si>
  <si>
    <t>70-090（巻47）</t>
  </si>
  <si>
    <t>赤白滞下候</t>
  </si>
  <si>
    <t>70-091（巻47）</t>
  </si>
  <si>
    <t>赤利候</t>
  </si>
  <si>
    <t>70-092（巻47）</t>
  </si>
  <si>
    <t>熱利候</t>
  </si>
  <si>
    <t>70-093（巻47）</t>
  </si>
  <si>
    <t>冷利候</t>
  </si>
  <si>
    <t>70-094（巻47）</t>
  </si>
  <si>
    <t>冷熱利候</t>
  </si>
  <si>
    <t>70-095（巻47）</t>
  </si>
  <si>
    <t>卒利候</t>
  </si>
  <si>
    <t>70-096（巻47）</t>
  </si>
  <si>
    <t>重利候</t>
  </si>
  <si>
    <t>70-098（巻47）</t>
  </si>
  <si>
    <t>利如膏血候</t>
  </si>
  <si>
    <t>70-099（巻47）</t>
  </si>
  <si>
    <t>蠱毒利候</t>
  </si>
  <si>
    <t>70-100（巻47）</t>
  </si>
  <si>
    <t>利兼渇候</t>
  </si>
  <si>
    <t>70-101（巻47）</t>
  </si>
  <si>
    <t>被魃候</t>
  </si>
  <si>
    <t>70-102（巻47）</t>
  </si>
  <si>
    <t>驚啼候</t>
  </si>
  <si>
    <t>70-103（巻47）</t>
  </si>
  <si>
    <t>夜啼候</t>
  </si>
  <si>
    <t>70-104（巻47）</t>
  </si>
  <si>
    <r>
      <rPr>
        <sz val="11"/>
        <color theme="1"/>
        <rFont val="游ゴシック"/>
        <family val="3"/>
        <charset val="136"/>
      </rPr>
      <t>躽</t>
    </r>
    <r>
      <rPr>
        <sz val="11"/>
        <color theme="1"/>
        <rFont val="ＭＳ Ｐゴシック"/>
        <family val="3"/>
        <charset val="128"/>
      </rPr>
      <t>啼侯</t>
    </r>
  </si>
  <si>
    <t>70-105（巻47）</t>
  </si>
  <si>
    <t>胎寒候</t>
  </si>
  <si>
    <t>70-106（巻47）</t>
  </si>
  <si>
    <t>70-107（巻47）</t>
  </si>
  <si>
    <t>70-108（巻47）</t>
  </si>
  <si>
    <t>解顱候</t>
  </si>
  <si>
    <t>70-109（巻48）</t>
  </si>
  <si>
    <t>囟填候</t>
  </si>
  <si>
    <t>70-110（巻48）</t>
  </si>
  <si>
    <t>囟陥候</t>
  </si>
  <si>
    <t>70-111（巻48）</t>
  </si>
  <si>
    <t>70-112（巻48）</t>
  </si>
  <si>
    <t>滞頤候</t>
  </si>
  <si>
    <t>70-113（巻48）</t>
  </si>
  <si>
    <t>70-114（巻48）</t>
  </si>
  <si>
    <t>中風四支拘攣候</t>
  </si>
  <si>
    <t>70-115（巻48）</t>
  </si>
  <si>
    <t>中風不随候</t>
  </si>
  <si>
    <t>70-116（巻48）</t>
  </si>
  <si>
    <t>白虎候</t>
  </si>
  <si>
    <t>70-117（巻48）</t>
  </si>
  <si>
    <t>卒失音不能語候</t>
  </si>
  <si>
    <t>70-118（巻48）</t>
  </si>
  <si>
    <t>70-119（巻48）</t>
  </si>
  <si>
    <t>中風口噤邪僻候</t>
  </si>
  <si>
    <t>70-120（巻48）</t>
  </si>
  <si>
    <t>70-121（巻48）</t>
  </si>
  <si>
    <t>羸瘦候</t>
  </si>
  <si>
    <t>70-122（巻48）</t>
  </si>
  <si>
    <t>虚羸候</t>
  </si>
  <si>
    <t>70-123（巻48）</t>
  </si>
  <si>
    <t>70-124（巻48）</t>
  </si>
  <si>
    <t>欬逆候</t>
  </si>
  <si>
    <t>70-125（巻48）</t>
  </si>
  <si>
    <t>病気候</t>
  </si>
  <si>
    <t>70-126（巻48）</t>
  </si>
  <si>
    <t>腫満候</t>
  </si>
  <si>
    <t>70-127（巻48）</t>
  </si>
  <si>
    <t>70-128（巻48）</t>
  </si>
  <si>
    <t>70-129（巻48）</t>
  </si>
  <si>
    <t>70-130（巻48）</t>
  </si>
  <si>
    <t>中風掣痛候</t>
  </si>
  <si>
    <t>70-131（巻48）</t>
  </si>
  <si>
    <t>70-132（巻48）</t>
  </si>
  <si>
    <t>70-133（巻48）</t>
  </si>
  <si>
    <t>眼障翳候</t>
  </si>
  <si>
    <t>70-134（巻48）</t>
  </si>
  <si>
    <t>目盲候</t>
  </si>
  <si>
    <t>70-135（巻48）</t>
  </si>
  <si>
    <t>70-136（巻48）</t>
  </si>
  <si>
    <t>綠目生瘡候</t>
  </si>
  <si>
    <t>70-137（巻48）</t>
  </si>
  <si>
    <t>70-138（巻48）</t>
  </si>
  <si>
    <t>䘌鼻候</t>
  </si>
  <si>
    <t>70-139（巻48）</t>
  </si>
  <si>
    <t>齆鼻候</t>
  </si>
  <si>
    <t>70-140（巻48）</t>
  </si>
  <si>
    <t>鼻塞候</t>
  </si>
  <si>
    <t>70-141（巻48）</t>
  </si>
  <si>
    <t>70-142（巻48）</t>
  </si>
  <si>
    <t>馬痺候</t>
  </si>
  <si>
    <t>70-143（巻48）</t>
  </si>
  <si>
    <t>歯不生候</t>
  </si>
  <si>
    <t>70-144（巻48）</t>
  </si>
  <si>
    <t>歯痛風齲候</t>
  </si>
  <si>
    <t>70-145（巻48）</t>
  </si>
  <si>
    <t>歯根血出候</t>
  </si>
  <si>
    <t>70-146（巻48）</t>
  </si>
  <si>
    <t>数歳不能行候</t>
  </si>
  <si>
    <t>70-147（巻48）</t>
  </si>
  <si>
    <t>鶴節候</t>
  </si>
  <si>
    <t>70-148（巻48）</t>
  </si>
  <si>
    <t>頭髪黄候</t>
  </si>
  <si>
    <t>70-149（巻48）</t>
  </si>
  <si>
    <t>頭髪不生候</t>
  </si>
  <si>
    <t>70-150（巻48）</t>
  </si>
  <si>
    <t>惛塞候</t>
  </si>
  <si>
    <t>70-151（巻48）</t>
  </si>
  <si>
    <t>落床損瘀候</t>
  </si>
  <si>
    <t>70-152（巻48）</t>
  </si>
  <si>
    <t>唇青候</t>
  </si>
  <si>
    <t>70-153（巻48）</t>
  </si>
  <si>
    <t>無辜病候</t>
  </si>
  <si>
    <t>70-154（巻48）</t>
  </si>
  <si>
    <t>70-155（巻48）</t>
  </si>
  <si>
    <t>五色丹候</t>
  </si>
  <si>
    <t>70-156（巻48）</t>
  </si>
  <si>
    <t>赤黒丹候</t>
  </si>
  <si>
    <t>70-157（巻48）</t>
  </si>
  <si>
    <t>70-158（巻48）</t>
  </si>
  <si>
    <t>丹火候</t>
  </si>
  <si>
    <t>70-159（巻49）</t>
  </si>
  <si>
    <t>天火丹候</t>
  </si>
  <si>
    <t>70-160（巻49）</t>
  </si>
  <si>
    <t>伊火丹候</t>
  </si>
  <si>
    <t>70-161（巻49）</t>
  </si>
  <si>
    <t>70-162（巻49）</t>
  </si>
  <si>
    <t>骨火丹候</t>
  </si>
  <si>
    <t>70-163（巻49）</t>
  </si>
  <si>
    <t>厲火丹候</t>
  </si>
  <si>
    <t>70-164（巻49）</t>
  </si>
  <si>
    <t>火丹候</t>
  </si>
  <si>
    <t>70-165（巻49）</t>
  </si>
  <si>
    <t>飛火丹候</t>
  </si>
  <si>
    <t>70-166（巻49）</t>
  </si>
  <si>
    <t>遊火丹候</t>
  </si>
  <si>
    <t>70-167（巻49）</t>
  </si>
  <si>
    <t>殃火丹候</t>
  </si>
  <si>
    <t>70-168（巻49）</t>
  </si>
  <si>
    <t>70-169（巻49）</t>
  </si>
  <si>
    <t>風火丹候</t>
  </si>
  <si>
    <t>70-170（巻49）</t>
  </si>
  <si>
    <t>暴火丹候</t>
  </si>
  <si>
    <t>70-171（巻49）</t>
  </si>
  <si>
    <t>留火丹候</t>
  </si>
  <si>
    <t>70-172（巻49）</t>
  </si>
  <si>
    <t>朱田火丹候</t>
  </si>
  <si>
    <t>70-173（巻49）</t>
  </si>
  <si>
    <t>欝火丹候</t>
  </si>
  <si>
    <t>70-174（巻49）</t>
  </si>
  <si>
    <t>神火丹候</t>
  </si>
  <si>
    <t>70-175（巻49）</t>
  </si>
  <si>
    <t>70-176（巻49）</t>
  </si>
  <si>
    <t>鬼火丹候</t>
  </si>
  <si>
    <t>70-177（巻49）</t>
  </si>
  <si>
    <t>70-178（巻49）</t>
  </si>
  <si>
    <t>野火丹候</t>
  </si>
  <si>
    <t>70-179（巻49）</t>
  </si>
  <si>
    <t>70-182（巻49）</t>
  </si>
  <si>
    <t>70-183（巻49）</t>
  </si>
  <si>
    <t>70-184（巻49）</t>
  </si>
  <si>
    <t>風瘙隠胗候</t>
  </si>
  <si>
    <t>70-185（巻49）</t>
  </si>
  <si>
    <t>卒腹皮青黒候</t>
  </si>
  <si>
    <t>70-186（巻49）</t>
  </si>
  <si>
    <t>藍注候</t>
  </si>
  <si>
    <t>70-187（巻49）</t>
  </si>
  <si>
    <t>身有処候</t>
  </si>
  <si>
    <t>70-188（巻49）</t>
  </si>
  <si>
    <t>赤遊腫候</t>
  </si>
  <si>
    <t>70-189（巻49）</t>
  </si>
  <si>
    <t>70-190（巻49）</t>
  </si>
  <si>
    <t>大小便不利候</t>
  </si>
  <si>
    <t>70-191（巻49）</t>
  </si>
  <si>
    <t>大小便血候</t>
  </si>
  <si>
    <t>70-192（巻49）</t>
  </si>
  <si>
    <t>70-193（巻49）</t>
  </si>
  <si>
    <t>痔候</t>
  </si>
  <si>
    <t>70-194（巻49）</t>
  </si>
  <si>
    <t>小便不通利候</t>
  </si>
  <si>
    <t>70-195（巻49）</t>
  </si>
  <si>
    <t>大小便数候</t>
  </si>
  <si>
    <t>70-196（巻49）</t>
  </si>
  <si>
    <t>70-197（巻49）</t>
  </si>
  <si>
    <t>70-198（巻49）</t>
  </si>
  <si>
    <t>70-199（巻49）</t>
  </si>
  <si>
    <t>70-200（巻49）</t>
  </si>
  <si>
    <t>70-201（巻49）</t>
  </si>
  <si>
    <t>70-202（巻49）</t>
  </si>
  <si>
    <t>70-203（巻49）</t>
  </si>
  <si>
    <t>70-204（巻49）</t>
  </si>
  <si>
    <t>70-205（巻50）</t>
  </si>
  <si>
    <t>70-206（巻50）</t>
  </si>
  <si>
    <t>70-207（巻50）</t>
  </si>
  <si>
    <t>70-208（巻50）</t>
  </si>
  <si>
    <t>70-209（巻50）</t>
  </si>
  <si>
    <t>病㿉候</t>
  </si>
  <si>
    <t>70-210（巻50）</t>
  </si>
  <si>
    <t>差㿉候</t>
  </si>
  <si>
    <t>70-211（巻50）</t>
  </si>
  <si>
    <t>狐臭侯</t>
  </si>
  <si>
    <t>70-212（巻50）</t>
  </si>
  <si>
    <t>四五歳不能語候</t>
  </si>
  <si>
    <t>70-213（巻50）</t>
  </si>
  <si>
    <t>気癭候</t>
  </si>
  <si>
    <t>70-214（巻50）</t>
  </si>
  <si>
    <t>胸脇満痛候</t>
  </si>
  <si>
    <t>70-215（巻50）</t>
  </si>
  <si>
    <t>服湯薬中毒候</t>
  </si>
  <si>
    <t>70-216（巻50）</t>
  </si>
  <si>
    <t>蠼螋蟯腰痛候</t>
  </si>
  <si>
    <t>70-217（巻50）</t>
  </si>
  <si>
    <t>疣目侯</t>
  </si>
  <si>
    <t>70-218（巻50）</t>
  </si>
  <si>
    <t>頭瘡候</t>
  </si>
  <si>
    <t>70-219（巻50）</t>
  </si>
  <si>
    <t>頭多虱生瘡候</t>
  </si>
  <si>
    <t>70-220（巻50）</t>
  </si>
  <si>
    <t>70-221（巻50）</t>
  </si>
  <si>
    <t>70-222（巻50）</t>
  </si>
  <si>
    <t>悪瘡候</t>
  </si>
  <si>
    <t>70-223（巻50）</t>
  </si>
  <si>
    <t>熛瘡候</t>
  </si>
  <si>
    <t>70-224（巻50）</t>
  </si>
  <si>
    <t>瘰癧候</t>
  </si>
  <si>
    <t>70-225（巻50）</t>
  </si>
  <si>
    <t>悪核候</t>
  </si>
  <si>
    <t>70-226（巻50）</t>
  </si>
  <si>
    <t>70-227（巻50）</t>
  </si>
  <si>
    <t>癰瘡候</t>
  </si>
  <si>
    <t>70-228（巻50）</t>
  </si>
  <si>
    <t>70-229（巻50）</t>
  </si>
  <si>
    <t>癤候</t>
  </si>
  <si>
    <t>70-230（巻50）</t>
  </si>
  <si>
    <t>70-231（巻50）</t>
  </si>
  <si>
    <t>70-232（巻50）</t>
  </si>
  <si>
    <t>瘻候</t>
  </si>
  <si>
    <t>70-233（巻50）</t>
  </si>
  <si>
    <r>
      <rPr>
        <sz val="11"/>
        <color theme="1"/>
        <rFont val="游ゴシック"/>
        <family val="3"/>
        <charset val="136"/>
      </rPr>
      <t>瘑</t>
    </r>
    <r>
      <rPr>
        <sz val="11"/>
        <color theme="1"/>
        <rFont val="ＭＳ Ｐゴシック"/>
        <family val="3"/>
        <charset val="128"/>
      </rPr>
      <t>候</t>
    </r>
  </si>
  <si>
    <t>70-234（巻50）</t>
  </si>
  <si>
    <t>70-235（巻50）</t>
  </si>
  <si>
    <t>70-236（巻50）</t>
  </si>
  <si>
    <t>70-237（巻50）</t>
  </si>
  <si>
    <t>斉瘡候</t>
  </si>
  <si>
    <t>70-238（巻50）</t>
  </si>
  <si>
    <t>蟲胞候</t>
  </si>
  <si>
    <t>70-239（巻50）</t>
  </si>
  <si>
    <t>口瘡候</t>
  </si>
  <si>
    <t>70-240（巻50）</t>
  </si>
  <si>
    <t>鵝口候</t>
  </si>
  <si>
    <t>70-241（巻50）</t>
  </si>
  <si>
    <t>鷰口生瘡候</t>
  </si>
  <si>
    <t>70-242（巻50）</t>
  </si>
  <si>
    <t>口下黄肥瘡候</t>
  </si>
  <si>
    <t>70-243（巻50）</t>
  </si>
  <si>
    <t>舌上瘡候</t>
  </si>
  <si>
    <t>70-244（巻50）</t>
  </si>
  <si>
    <t>舌腫候</t>
  </si>
  <si>
    <t>70-245（巻50）</t>
  </si>
  <si>
    <t>噤候</t>
  </si>
  <si>
    <t>70-246（巻50）</t>
  </si>
  <si>
    <t>凍爛瘡候</t>
  </si>
  <si>
    <t>70-247（巻50）</t>
  </si>
  <si>
    <t>金瘡候</t>
  </si>
  <si>
    <t>70-248（巻50）</t>
  </si>
  <si>
    <t>卒驚瘡候</t>
  </si>
  <si>
    <t>70-249（巻50）</t>
  </si>
  <si>
    <t>月食瘡候</t>
  </si>
  <si>
    <t>70-250（巻50）</t>
  </si>
  <si>
    <t>70-251（巻50）</t>
  </si>
  <si>
    <t>浸淫瘡候</t>
  </si>
  <si>
    <t>70-252（巻50）</t>
  </si>
  <si>
    <t>王灼悪瘡候</t>
  </si>
  <si>
    <t>70-253（巻50）</t>
  </si>
  <si>
    <t>疳湿候</t>
  </si>
  <si>
    <t>70-254（巻50）</t>
  </si>
  <si>
    <t>小児陰腫成瘡候</t>
  </si>
  <si>
    <t>70-255（巻50）</t>
  </si>
  <si>
    <t>鍼灸備要（青山道醇）</t>
  </si>
  <si>
    <t>序</t>
    <rPh sb="0" eb="1">
      <t>ジョ</t>
    </rPh>
    <phoneticPr fontId="6"/>
  </si>
  <si>
    <t>骨度の解</t>
    <rPh sb="0" eb="2">
      <t>コツド</t>
    </rPh>
    <rPh sb="3" eb="4">
      <t>カイ</t>
    </rPh>
    <phoneticPr fontId="6"/>
  </si>
  <si>
    <t>同身寸の法</t>
    <rPh sb="0" eb="3">
      <t>ドウシンスン</t>
    </rPh>
    <rPh sb="4" eb="5">
      <t>ホウ</t>
    </rPh>
    <phoneticPr fontId="6"/>
  </si>
  <si>
    <t>大椎を定むる法</t>
    <rPh sb="0" eb="2">
      <t>ダ＠</t>
    </rPh>
    <rPh sb="3" eb="4">
      <t>サダ</t>
    </rPh>
    <rPh sb="6" eb="7">
      <t>ホウ</t>
    </rPh>
    <phoneticPr fontId="6"/>
  </si>
  <si>
    <t>名同類異</t>
    <rPh sb="0" eb="1">
      <t>ナ</t>
    </rPh>
    <rPh sb="1" eb="2">
      <t>オナ</t>
    </rPh>
    <rPh sb="2" eb="3">
      <t>ルイ</t>
    </rPh>
    <rPh sb="3" eb="4">
      <t>コト</t>
    </rPh>
    <phoneticPr fontId="6"/>
  </si>
  <si>
    <t>穴同名事類</t>
    <rPh sb="0" eb="1">
      <t>ケツ</t>
    </rPh>
    <rPh sb="1" eb="2">
      <t>オナ</t>
    </rPh>
    <rPh sb="2" eb="3">
      <t>ナ</t>
    </rPh>
    <rPh sb="3" eb="4">
      <t>コト</t>
    </rPh>
    <rPh sb="4" eb="5">
      <t>ルイ</t>
    </rPh>
    <phoneticPr fontId="6"/>
  </si>
  <si>
    <t>一穴三名</t>
    <rPh sb="0" eb="1">
      <t>1</t>
    </rPh>
    <rPh sb="1" eb="2">
      <t>ケツ</t>
    </rPh>
    <rPh sb="2" eb="3">
      <t>3</t>
    </rPh>
    <rPh sb="3" eb="4">
      <t>ナ</t>
    </rPh>
    <phoneticPr fontId="6"/>
  </si>
  <si>
    <t>一穴四名</t>
    <rPh sb="0" eb="1">
      <t>1</t>
    </rPh>
    <rPh sb="1" eb="2">
      <t>ケツ</t>
    </rPh>
    <rPh sb="2" eb="3">
      <t>4</t>
    </rPh>
    <rPh sb="3" eb="4">
      <t>ナ</t>
    </rPh>
    <phoneticPr fontId="6"/>
  </si>
  <si>
    <t>一穴五名</t>
    <rPh sb="0" eb="1">
      <t>1</t>
    </rPh>
    <rPh sb="1" eb="2">
      <t>ケツ</t>
    </rPh>
    <rPh sb="2" eb="3">
      <t>5</t>
    </rPh>
    <rPh sb="3" eb="4">
      <t>ナ</t>
    </rPh>
    <phoneticPr fontId="6"/>
  </si>
  <si>
    <t>一穴六名</t>
    <rPh sb="0" eb="1">
      <t>1</t>
    </rPh>
    <rPh sb="1" eb="2">
      <t>ケツ</t>
    </rPh>
    <rPh sb="2" eb="3">
      <t>6</t>
    </rPh>
    <rPh sb="3" eb="4">
      <t>ナ</t>
    </rPh>
    <phoneticPr fontId="6"/>
  </si>
  <si>
    <t>刺禁略例</t>
    <rPh sb="0" eb="1">
      <t>サス</t>
    </rPh>
    <rPh sb="1" eb="2">
      <t>キン</t>
    </rPh>
    <rPh sb="2" eb="3">
      <t>リャク</t>
    </rPh>
    <rPh sb="3" eb="4">
      <t>レイ</t>
    </rPh>
    <phoneticPr fontId="6"/>
  </si>
  <si>
    <t>二十四脉の解</t>
    <rPh sb="0" eb="3">
      <t>24</t>
    </rPh>
    <rPh sb="3" eb="4">
      <t>ミャク</t>
    </rPh>
    <rPh sb="5" eb="6">
      <t>カイ</t>
    </rPh>
    <phoneticPr fontId="6"/>
  </si>
  <si>
    <t>禁鍼穴歌三十一穴</t>
    <rPh sb="0" eb="2">
      <t>キンシン</t>
    </rPh>
    <rPh sb="2" eb="3">
      <t>ケツ</t>
    </rPh>
    <rPh sb="3" eb="4">
      <t>ウタ</t>
    </rPh>
    <rPh sb="4" eb="7">
      <t>31</t>
    </rPh>
    <rPh sb="7" eb="8">
      <t>ケツ</t>
    </rPh>
    <phoneticPr fontId="6"/>
  </si>
  <si>
    <t>禁灸穴歌四十七穴</t>
    <rPh sb="0" eb="3">
      <t>キンキュウケツ</t>
    </rPh>
    <rPh sb="2" eb="3">
      <t>ケツ</t>
    </rPh>
    <rPh sb="3" eb="4">
      <t>ウタ</t>
    </rPh>
    <rPh sb="4" eb="7">
      <t>47</t>
    </rPh>
    <rPh sb="7" eb="8">
      <t>ケツ</t>
    </rPh>
    <phoneticPr fontId="6"/>
  </si>
  <si>
    <t>○諸病的治の要穴</t>
    <rPh sb="1" eb="3">
      <t>ショビョウ</t>
    </rPh>
    <rPh sb="3" eb="4">
      <t>テキ</t>
    </rPh>
    <rPh sb="4" eb="5">
      <t>チ</t>
    </rPh>
    <rPh sb="6" eb="8">
      <t>ヨウケツ</t>
    </rPh>
    <phoneticPr fontId="6"/>
  </si>
  <si>
    <t>卒中風（そつちうふ）　そつちう　全発卒中</t>
  </si>
  <si>
    <t>偏枯（へんこ）　かたみしびれ　半身麻痺</t>
  </si>
  <si>
    <t>口眼喎斜（こうがんくわしゃ）　くちゆかむ</t>
    <phoneticPr fontId="6"/>
  </si>
  <si>
    <t>舌強（したこわ）る</t>
  </si>
  <si>
    <t>舌緩（ゆるむ）</t>
  </si>
  <si>
    <t>霍乱（くわくらん）　しりより口よりこくやまい　特発虎列剌（とくはつコレラ）</t>
  </si>
  <si>
    <t>転筋（てんきん）　すじつまり　局発痙攣</t>
  </si>
  <si>
    <t>食傷　しよくあたり　急性胃加多児（カタル）</t>
  </si>
  <si>
    <t>温疫（うんえき）　えやみ、又、やくびやう　窒扶斯（チフス）</t>
  </si>
  <si>
    <t>傷寒（しやうかん）　ねつのあるやまい　熱病</t>
  </si>
  <si>
    <t>天行中風（てんこうちうふう）　はやりかせ　流行性感冒</t>
  </si>
  <si>
    <t>瘧疾（きやくしつ）　をこり　間歇熱</t>
  </si>
  <si>
    <t>瘧母（ぎやくも）　をこりのかたまり　脾臓肥大</t>
  </si>
  <si>
    <t>膈証（かくしよう）　かくのやまい　食道狭窄</t>
  </si>
  <si>
    <t>嘔吐（ををと）　へとつく　嘔吐</t>
  </si>
  <si>
    <t>乾嘔（かんのを）　からへづき　乾嘔、又、仮嘔（かをを）</t>
  </si>
  <si>
    <t>胃翻（いほん）　あげる　慢性嘔吐</t>
  </si>
  <si>
    <t>痰飲（たんいん）　りうゐん、又、むねつかへ　慢性加多児（カタル）性胃炎</t>
  </si>
  <si>
    <t>咳嗽（がいそう）　しわぶき、又、せき　咳嗽</t>
  </si>
  <si>
    <t>咳嗽声破（こえやぶる）　しやがらごへ　咳嗽嗄嘶（せいさ）</t>
  </si>
  <si>
    <t>噦逆（えつぎゃく）　さくり　吃逆（きつぎやく）、又、横膈筋痙攣</t>
    <rPh sb="0" eb="1">
      <t>エツ</t>
    </rPh>
    <phoneticPr fontId="6"/>
  </si>
  <si>
    <t>頭痛　づつう　脳充血</t>
  </si>
  <si>
    <t>偏頭痛（へんづつう）　かたづつう　偏頭神経痛</t>
  </si>
  <si>
    <t>額前（かくせん）痛　ひたいのいたむ病　前額神経痛</t>
  </si>
  <si>
    <t>真頭痛（しんづつう）　あたまのさけるほどいたむ病　脳膜炎</t>
  </si>
  <si>
    <t>面痛（めんつう）　かほのいたむ病　顔面神経痛</t>
  </si>
  <si>
    <t>眩運（けんうん）（＝眩暈）　めまい、又、たちぐらみ　眩暈（けんうん）、又、頭旋（づせん）</t>
  </si>
  <si>
    <t>泄瀉（せつしや）　くだりはら　腸加多児（カタル）</t>
  </si>
  <si>
    <t>腹痛　ふくつう</t>
  </si>
  <si>
    <t>心痛、又、胸痛　むねいたみ　心臓内膜炎</t>
  </si>
  <si>
    <t>胸痛　むねのいたみ　胸膜炎</t>
  </si>
  <si>
    <t>胸肋痛　あばらぼねのいたむ病　肋間神経痛</t>
  </si>
  <si>
    <t>腰痛　こしのいたむ病　腰神経痛</t>
  </si>
  <si>
    <t>痃癖卒痛（げんへきそつつう）　はやうちかた　心胸神経痛</t>
  </si>
  <si>
    <t>肩痛</t>
  </si>
  <si>
    <t>臂痛（ひつう）　ひじのいたむ病　臂節（ひせつ）神経痛</t>
  </si>
  <si>
    <t>背脊痛（はいせきつう）　せほねのいたむ病　脊髄炎</t>
    <phoneticPr fontId="6"/>
  </si>
  <si>
    <t>疝気　せんき、又、あたはら　腸神経痛</t>
  </si>
  <si>
    <t>積聚（しやくじゅ）　しゃくじゅ　印華爾屈篤（インハルクト）</t>
  </si>
  <si>
    <t>脚気（かくけ）　あしのけ　脚気</t>
  </si>
  <si>
    <t>水気（すいき）　はれやみ　水腫（すいしゅ）病</t>
  </si>
  <si>
    <t>脹満（ちやうまん）　ちやうまん　腹水</t>
  </si>
  <si>
    <t>黄疸（わうだん）　きばむ病　肝臓胆液充積症</t>
  </si>
  <si>
    <t>痢病（りびやう）　赤痢をちぐそと云、白痢をなめと云　赤痢、又、痢疾</t>
  </si>
  <si>
    <t>脱肛　だつこ　直腸脱</t>
  </si>
  <si>
    <t>痔病　ぢのやまひ、又、しりのやまひ　痔疾</t>
  </si>
  <si>
    <t>血痔　はしりち　痔血、又、出血痔</t>
  </si>
  <si>
    <t>痔漏　ちらう　肛門瘻（ろう）</t>
  </si>
  <si>
    <t>大便秘結　ふんつまり　大便不通</t>
  </si>
  <si>
    <t>淋病　しはゆばり、又、りんひやう　淋疾、又、淋</t>
  </si>
  <si>
    <t>小便不通　小便つまり　尿閉</t>
  </si>
  <si>
    <t>小便不禁　小便にくくりのなくなる病　膀胱括約筋麻痺</t>
  </si>
  <si>
    <t>遺尿　ねしやうべん　遺尿</t>
  </si>
  <si>
    <t>失精（しつせい）　もうそう　遺精</t>
    <phoneticPr fontId="6"/>
  </si>
  <si>
    <t>癲癇　てんかん　癲癇</t>
  </si>
  <si>
    <t>狂（きよう）　らんしんもの、又、ものくるい　癲狂病、又、狂疾</t>
  </si>
  <si>
    <t>鬼魘（きえん）　おそわるる　魘夢（えんむ）</t>
  </si>
  <si>
    <t>卒死客忤（ソツシカクゴ）　とんし　卒死</t>
  </si>
  <si>
    <t>麻木（まぼく）　しびれ　麻痺病</t>
  </si>
  <si>
    <t>不仁　かわはだのしびれ　知覚減少</t>
  </si>
  <si>
    <t>風湿痛風　ふうしつつうふう　僂麻質斯（リウマチス）</t>
  </si>
  <si>
    <t>白虎歴節風（びやくこれきせつふう）　ふしふしのはげしくいたむ病　急性関節僂麻質斯（リウマチス）</t>
  </si>
  <si>
    <t>痙病（けいびやう）　そりのやまい　強直痙攣</t>
  </si>
  <si>
    <t>自汗盗汗（じかんとうかん）　ひあせ、又、ねあせ　多汗症</t>
  </si>
  <si>
    <t>労瘵（癆瘵）　ろうさい　らうしゆう　肺労</t>
  </si>
  <si>
    <t>健忘（けんぼう）　気ぬけ、又、ものわすれ　健忘</t>
  </si>
  <si>
    <t>喜忘（きぼう）　とわすれ</t>
  </si>
  <si>
    <t>虚労（きよろう）　らうしやう、又、よわみ　虚衰病</t>
  </si>
  <si>
    <t>鬱証　きのふさぐ病　鬱憂病</t>
  </si>
  <si>
    <t>虫証（ちゅうしょう）　むしのわく病　虫症</t>
    <phoneticPr fontId="6"/>
  </si>
  <si>
    <t>吐血　血へどを吐く病　胃出血</t>
  </si>
  <si>
    <t>衄血（じゆつけつ）　はなち　鼻孔出血</t>
  </si>
  <si>
    <t>咳血（がいけつ）　咳につれて痰血の出る病　気管支出血</t>
  </si>
  <si>
    <t>咯血（かくけつ）（＝喀血）　俄（にわか）に血を吐く病　肺臓出血、又、肺出血</t>
  </si>
  <si>
    <t>唾血（だけつ）　唾（つば）に交りて血の出る病　口内出血</t>
  </si>
  <si>
    <t>便血　血の下る病　腸出血</t>
  </si>
  <si>
    <t>尿血　小便に血の交りて出る病　腎臓出血</t>
  </si>
  <si>
    <t>天行赤眼（てんかうしやくぐわん）　はやりめ、又、やみめ　結膜炎</t>
  </si>
  <si>
    <t>燗眼風（らんかんふう）　ただきめ　眼瞼縁炎</t>
  </si>
  <si>
    <t>星翳（せいえい）　めぼし　角膜翳（かくまくえい）</t>
  </si>
  <si>
    <t>倒睫拳毛（たうせうけんもう）　さかまつげ　睫毛内刺（せうもうなへし）</t>
  </si>
  <si>
    <t>雀目（じゃくもく）　とりめ　夜盲、又、晩盲</t>
  </si>
  <si>
    <t>口糜（こうび）　こうねつ　加多児（カタル）性口内炎</t>
  </si>
  <si>
    <t>喉風（こうふう）　のどけ　咽喉加多児（カタル）</t>
  </si>
  <si>
    <t>喉痺　こうひ　扁桃腺炎</t>
  </si>
  <si>
    <t>舌腫　舌はれて痛む病　舌炎、又、舌きん（ぜつきん）</t>
  </si>
  <si>
    <t>吐舌（又云、弄舌）　舌のながき病、又、方言ながべろ　舌肥大</t>
  </si>
  <si>
    <t>重舌（舌下生小舌也）　こじた　舌下軟瘤（なんりう）</t>
  </si>
  <si>
    <t>歯牙（しげ）痛　歯の痛む病　歯神経痛</t>
  </si>
  <si>
    <t>牙齦（しぎん）腫痛　歯ぐきのはれて痛む病　歯齦炎</t>
  </si>
  <si>
    <t>齲歯（うし）　むしくひば　歯牙潰瘍、又、朽歯、又、歯骨瘍</t>
  </si>
  <si>
    <t>鼻痔（びぢ）　はなたけ　鼻粘膜贅肉（ぜいにく）</t>
  </si>
  <si>
    <t>鼻淵　びえん　慢性鼻竅炎</t>
  </si>
  <si>
    <t>酒皶鼻（しゅさび）　にきみはな、又、ざくろはな　さ鼻（さび）</t>
  </si>
  <si>
    <t>耳痛（につう）　みみいたみ　耳神経痛</t>
  </si>
  <si>
    <t>耳鳴（にめい）　みみなり　耳神経痛</t>
  </si>
  <si>
    <t>聤耳（ていに）　みみだり　耳道加多児（カタル）</t>
    <rPh sb="0" eb="2">
      <t>テイジ</t>
    </rPh>
    <phoneticPr fontId="6"/>
  </si>
  <si>
    <t>耳聾（にろう）　みみしひ　聴覚完失</t>
  </si>
  <si>
    <t>瘖唖（えんあ）　おおし　いん唖</t>
    <rPh sb="0" eb="1">
      <t>オシ</t>
    </rPh>
    <phoneticPr fontId="6"/>
  </si>
  <si>
    <t>患門　并　四花穴法</t>
  </si>
  <si>
    <t>○婦人鍼灸　并　概論</t>
  </si>
  <si>
    <t>婦人的治要穴</t>
  </si>
  <si>
    <t>月経不順　つきのものふめぐり　月経変調</t>
  </si>
  <si>
    <t>月水不通　めぐりとまる　月経閉止</t>
  </si>
  <si>
    <t>月水過多　めぐりのことにつよきもの</t>
  </si>
  <si>
    <t>月信痛　つぎむし、又、いんばらむし　月経困難</t>
  </si>
  <si>
    <t>難産　むつかしきさん　難産</t>
  </si>
  <si>
    <t>横産　よこざん　横位出産</t>
  </si>
  <si>
    <t>倒産　さかご　逆産</t>
  </si>
  <si>
    <t>息胞　いなひかえる　胞衣不下</t>
  </si>
  <si>
    <t>悪露不尽（あくろつきず）　さんごのおりもの　産蓐排泄</t>
  </si>
  <si>
    <t>産後血暈　産後のちのぼり</t>
  </si>
  <si>
    <t>転ふ（てんふ）　さんごしやうべんつまり　産後尿閉</t>
  </si>
  <si>
    <t>婦人淋疾　しやうかち　婦人尿道加多児（カタル）</t>
  </si>
  <si>
    <t>前陰腫痛　まへのはれていたむやまひ　太陰唇結締織炎</t>
  </si>
  <si>
    <t>子宮病　こぶくろのいたむやまひ　子宮刺激</t>
  </si>
  <si>
    <t>陰挺下脱、又、陰頽（たい）腫　なす　子宮脱出</t>
  </si>
  <si>
    <t>癥瘕（ちょうか）　ふる血のかたまり　子宮血塊</t>
    <rPh sb="0" eb="2">
      <t>チョウカ</t>
    </rPh>
    <phoneticPr fontId="6"/>
  </si>
  <si>
    <t>白帯下（はくたいげ）　しらち、又、こしけ　子宮粘膜炎</t>
  </si>
  <si>
    <t>赤帯下（しゃくたいげ）　ながち　陰膣粘膜炎</t>
  </si>
  <si>
    <t>崩漏（ほうろう）　ちくだれ、又、ちおり　子宮出血、又、子宮血崩</t>
  </si>
  <si>
    <t>悪阻（をそ）　つわり</t>
  </si>
  <si>
    <t>無子（むし）　こなし　不孕病（ふようびょう）</t>
  </si>
  <si>
    <t>蔵躁病　しきうしやく　子宮痙攣</t>
  </si>
  <si>
    <t>心風　きうつ　喜斯底里（キステリ）</t>
  </si>
  <si>
    <t>黄胖（はん）　あをのやまひ　萎黄病</t>
  </si>
  <si>
    <t>乳痛　ちぶさのいたむやまひ　乳房神経痛</t>
  </si>
  <si>
    <t>乳閉　ちちのへるやまひ　乳少</t>
  </si>
  <si>
    <t>妬乳（どにゅう）　ちぶ　乳房炎</t>
    <phoneticPr fontId="6"/>
  </si>
  <si>
    <t>乳癰　ちぶ　乳房膿腫</t>
  </si>
  <si>
    <t>○小児鍼灸　并　概論</t>
  </si>
  <si>
    <t>小児の治要穴</t>
  </si>
  <si>
    <t>解顱（げろ・かいろ）　はちひらく　腫水腫</t>
  </si>
  <si>
    <t>驚風　小児のひきつける病　小児搐溺（ちくでき）</t>
    <phoneticPr fontId="6"/>
  </si>
  <si>
    <t>小児瘈瘲（けいしょう）　そりかへる　角弓反張</t>
  </si>
  <si>
    <t>百日咳　くづめき、又、けいけいしやぶき　痙攣がい</t>
  </si>
  <si>
    <t>馬脾風（ばひふう）　ばひふう　格魯布（コロウブ）（＝コロフ）　→クループ性肺炎</t>
  </si>
  <si>
    <t>臍風撮口（さいふうさつこう）　つぼくち　又、ほほづきむし　小児強直痙攣</t>
  </si>
  <si>
    <t>吐乳（とにう）　ちちをもどす　小児慢性嘔吐</t>
  </si>
  <si>
    <t>小児瀉泄　くだりはら　腸加多児（カタル）</t>
  </si>
  <si>
    <t>小児夜啼（やてい）　よなき</t>
  </si>
  <si>
    <t>痺疳（ひかん）　おとみやみ　腸及腸間膜腺瘰癧及結核</t>
  </si>
  <si>
    <t>鵞口（がこう）　しろした　鵞口瘡</t>
  </si>
  <si>
    <t>小児脱肛　しりいつるやまひ　直腸脱</t>
  </si>
  <si>
    <t>小児遺尿　ねしやうべん　遺尿</t>
  </si>
  <si>
    <t>○十四経分寸の法</t>
  </si>
  <si>
    <t>手太陰肺経</t>
  </si>
  <si>
    <t>手陽明大腸経</t>
  </si>
  <si>
    <t>足陽明胃経</t>
  </si>
  <si>
    <t>足太陰脾経</t>
  </si>
  <si>
    <t>手少陰心経</t>
  </si>
  <si>
    <t>手太陽小腸経</t>
  </si>
  <si>
    <t>足太陽膀胱経</t>
  </si>
  <si>
    <t>足少陰腎経</t>
  </si>
  <si>
    <t>手厥陰心包経</t>
  </si>
  <si>
    <t>手少陽三焦経</t>
  </si>
  <si>
    <t>足少陽胆経</t>
  </si>
  <si>
    <t>足厥陰肝経</t>
  </si>
  <si>
    <t>任脈</t>
  </si>
  <si>
    <t>督脈</t>
  </si>
  <si>
    <t>○誤りを解くの穴</t>
  </si>
  <si>
    <t>○癰疽八穴灸法解</t>
  </si>
  <si>
    <t>跋</t>
  </si>
  <si>
    <t>メモ</t>
    <phoneticPr fontId="6"/>
  </si>
  <si>
    <t>胃脘痛：イカンツウ：みづおちいたみ：胃痛・胃痙攣の類</t>
  </si>
  <si>
    <t>胃脘癰：イカンヨウ：いのできもの：胃潰瘍その他</t>
  </si>
  <si>
    <t>噎膈：イッカク：かくのやまい：食道ガン・食道狭窄</t>
  </si>
  <si>
    <t>遺尿：イニョウ：ねしょうべん：夜尿症</t>
  </si>
  <si>
    <t>陰痿：インイ：えてものきかぬ：勃起不能</t>
  </si>
  <si>
    <t>陰狐疝：インコセン：だっちょう：鼠蹊ヘルニア</t>
  </si>
  <si>
    <t>陰痔：インジ：いんもんのうちのはれもの：膣息肉</t>
  </si>
  <si>
    <t>陰吹：インスイ：まえとうしろとのさかいにあなあり：直腸陰膣瘻</t>
  </si>
  <si>
    <t>陰挺下脱：インテイゲダツ：なす：子宮脱出</t>
  </si>
  <si>
    <t>陰痒：インヨウ：いんもんのなかかゆきやまい：陰門掻痒症</t>
  </si>
  <si>
    <t>陰陽毒：インヨウドク：のどのやまい：悪性咽喉糜爛の類</t>
  </si>
  <si>
    <t>飲癖：インペキ：かくのやまい：胃ガンの１症・留飲</t>
  </si>
  <si>
    <t>烏頭毒：ウズドク：とりかぶとのどくあたり：烏頭中毒</t>
  </si>
  <si>
    <t>鬱症：ウツショウ：ふさぎやまい：うつ病（鬱病）</t>
  </si>
  <si>
    <t>瘟疫：ウンエキ：えやみ：発疹チフス・腸チフスの類</t>
  </si>
  <si>
    <t>瘟黄：ウンオウ：おうだんかぜ：黄熱病の類</t>
  </si>
  <si>
    <t>噦逆：エツギャク：しゃくり：横隔膜痙攣・吃逆</t>
  </si>
  <si>
    <t>横痃：オウゲン：よこね：横痃</t>
  </si>
  <si>
    <t>黄胖病：オウハンビョウ：あをのやまい：萎黄病・心臓病・寄生虫病</t>
  </si>
  <si>
    <t>悪阻：オソ：つわり：妊娠嘔吐・悪阻</t>
  </si>
  <si>
    <t>蟹晴：カイセイ：どうききびはれ・めのとびでる病：バセドウ病</t>
  </si>
  <si>
    <t>疥瘡：カイソウ：ひぜんがさ・しつ：疥癬</t>
  </si>
  <si>
    <t>欬嗽：ガイソウ：しはぶき：急性・慢性気管支炎</t>
  </si>
  <si>
    <t>解顱：カイロ：さいづちあたま：脳水腫</t>
  </si>
  <si>
    <t>牙疳：ガカン：はくさ：壊血病</t>
  </si>
  <si>
    <t>鶴膝風：カクシツフウ：ひざぶしのはれもの：関節水腫</t>
  </si>
  <si>
    <t>霍乱：カクラン：はきくだし：急性中毒性胃炎</t>
  </si>
  <si>
    <t>瓜■瘟：カジョウウン：ころり：コレラ</t>
  </si>
  <si>
    <t>鵞口瘡：ガコソウ：しろじた：寄生性口内炎</t>
  </si>
  <si>
    <t>鵝掌風：ガショウフウ：みずむし：手掌鱗屑癬・角化症</t>
  </si>
  <si>
    <t>鵝鴨脚：ガオウキャク：かもあし：膝外反・膝内反症</t>
  </si>
  <si>
    <t>火帯瘡：カタイソウ：つつらご：帯状ヘルペス</t>
  </si>
  <si>
    <t>火丹：カタン：はやくさ：丹毒</t>
  </si>
  <si>
    <t>脚気：カッケ：あしのけ：脚気</t>
  </si>
  <si>
    <t>華癲：カテン：いんらん：女子色欲亢盛</t>
  </si>
  <si>
    <t>蝦蟇瘟：ガマウン：かおにできるはやくさ：顔面丹毒・耳下腺炎に混ず</t>
  </si>
  <si>
    <t>乾脚気：カンカッケ：やせほそるかっけ：萎縮性脚気</t>
  </si>
  <si>
    <t>■囈：カンゲイ：ねぼける：夢遊病・夢中行歩</t>
  </si>
  <si>
    <t>寒疝：カンセン：せんきひえばら：腸神経痛・諸腹痛</t>
  </si>
  <si>
    <t>頑癬：ガンセン：たむし：頑癬</t>
  </si>
  <si>
    <t>疳眼：カンガン：かんめ：角膜軟化症・フリクテン</t>
  </si>
  <si>
    <t>疳瘡：カンソウ：かんそう：下疳</t>
  </si>
  <si>
    <t>眼丹：ガンタン：めいぼ・ものもらい：麦粒腫</t>
  </si>
  <si>
    <t>癭瘤：エイリュウ：こぶ：粉瘤</t>
  </si>
  <si>
    <t>鬼魘：キエン：おそわれる：精神分裂病</t>
  </si>
  <si>
    <t>鬼胎：キタイ：もののけにつかれたる：畸形児</t>
  </si>
  <si>
    <t>肌衂：キジク：はだに血のにじむやまい：紫斑病</t>
  </si>
  <si>
    <t>亀背：キハイ：はとむねせむし：佝僂病</t>
  </si>
  <si>
    <t>喜忘：キボウ：どわすれ：失語症・健忘症</t>
  </si>
  <si>
    <t>牛程■：ギュウテイケン：そこまめ：皮下結締織炎</t>
  </si>
  <si>
    <t>瘧：ギャク：おこり：腎盂炎・マラリアの類</t>
  </si>
  <si>
    <t>逆上：ギャクジョウ：のぼせ：脳充血</t>
  </si>
  <si>
    <t>急黄：キュウオウ：はげしきおうだん：ワイル病・劇性黄疸の類</t>
  </si>
  <si>
    <t>急驚風：キュウキョウフウ：ひきつけ：急癇・結核性脳膜炎</t>
  </si>
  <si>
    <t>急肥：キュウヒ：こえふとるやまい：肥胖病</t>
  </si>
  <si>
    <t>胸痛：キョウツウ：あばらのいたみ：胸膜炎</t>
  </si>
  <si>
    <t>胸痺：キョウヒ：むねのうちしびれ：気胸・肺気腫・胸膜炎・心臓病などの症</t>
  </si>
  <si>
    <t>驚風：キョウフウ：子供のひきつけるやまい：幼児急癇</t>
  </si>
  <si>
    <t>強中病：キョウチュウビョウ：えてものたちつづけ：男子淫欲亢進症</t>
  </si>
  <si>
    <t>脇肋痛：キョウロクツウ：あばらぼねのいたみ：肋間神経痛</t>
  </si>
  <si>
    <t>佝僂病：クルビョウ：せむし：佝僂病・イギリス病</t>
  </si>
  <si>
    <t>経解：ケイカイ：ほねなし：骨軟骨証</t>
  </si>
  <si>
    <t>痙病：ケイビョウ：そりのやまい：角弓反張・子癇・破傷風の類</t>
  </si>
  <si>
    <t>血虚：ケッキョ：ちのすくなきやまい：貧血症</t>
    <phoneticPr fontId="6"/>
  </si>
  <si>
    <t>血虚頭眩：ケッキョズゲン：めまい：脳貧血</t>
  </si>
  <si>
    <t>血痣：ケツシ：ちあざ・ちまめ：末梢血管拡張</t>
  </si>
  <si>
    <t>血証：ケッショウ：ちのでやすきやまい：血友病の類</t>
  </si>
  <si>
    <t>血風瘡：ケップウソウ：ちぼろせ：滲出性紅斑</t>
  </si>
  <si>
    <t>月信痛：ゲッシンツウ：つきやみ：月経痛・月経困難</t>
  </si>
  <si>
    <t>結毒：ケツドク：からだじゅうのかさ：潜伏梅毒</t>
    <phoneticPr fontId="6"/>
  </si>
  <si>
    <t>瞼生風栗：ケンセイフウリツ：こすりめ：濾胞性結膜炎</t>
  </si>
  <si>
    <t>■瘡：ケンソウ：とびひ：膿痂疹</t>
  </si>
  <si>
    <t>口眼喎斜：コウガンカシャ：くちゆがむ：顔面神経麻痺</t>
    <rPh sb="2" eb="3">
      <t>カ</t>
    </rPh>
    <phoneticPr fontId="6"/>
  </si>
  <si>
    <t>口中転屎：コウチュウテンシ：くそはくやまい：腸管狭窄・腸閉塞</t>
  </si>
  <si>
    <t>口糜：コウビ：こうねつ：口内炎</t>
  </si>
  <si>
    <t>紅絲瘡：コウシソウ：すじちょう：淋巴管炎</t>
  </si>
  <si>
    <t>交腸：コウチョウ：小便より大便のでるやまい：尿道直腸瘻</t>
  </si>
  <si>
    <t>香弁瘡：コウベンソウ：かにくさ：面部膿疱疹</t>
  </si>
  <si>
    <t>喉痺：コウヒ：こうひ：扁桃腺炎アンギーナ</t>
  </si>
  <si>
    <t>胡気：コキ：わきが：腋臭</t>
  </si>
  <si>
    <t>枯筋箭：コキンセン：うをのめ：魚疣</t>
  </si>
  <si>
    <t>五更瀉：ゴコウシャ：あけがたくだりやまい：腸結核の類</t>
  </si>
  <si>
    <t>五軟：ゴナン：ほねなし：脳性小児麻痺</t>
  </si>
  <si>
    <t>穀嘴瘡：コクジソウ：にきび：面皰■瘡</t>
  </si>
  <si>
    <t>鼓脹：コチョウ：かめばら：鼓脹</t>
  </si>
  <si>
    <t>狐惑：コワク：どくによるきやまい：梅毒性神経衰弱の類</t>
  </si>
  <si>
    <t>鎖陰：サイン：いつけつ：鎖陰</t>
  </si>
  <si>
    <t>鎖肛：サコウ：しりあななし：鎖肛</t>
  </si>
  <si>
    <t>■腮：ササイ：ほおばれ：流行性耳下腺炎</t>
  </si>
  <si>
    <t>沙蟲：サチュウ：つつがむし：恙虫病</t>
  </si>
  <si>
    <t>痣魘：シエン：あざ：母斑</t>
  </si>
  <si>
    <t>自汗：ジカン：ひああせ：多汗症の類</t>
  </si>
  <si>
    <t>児枕痛：ジチンツウ：あとはらいたみ：産褥腹痛</t>
  </si>
  <si>
    <t>湿脚気：シツカッケ：はれのあるかっけ：浮腫性脚気</t>
  </si>
  <si>
    <t>失栄：シツエイ：わるいおでき：癌腫の類</t>
  </si>
  <si>
    <t>失精：シッセイ：もうぞう：遺精</t>
  </si>
  <si>
    <t>指痺：シヒ：ゆびのすじつまり：指端痙攣</t>
  </si>
  <si>
    <t>子冒：シボウ：しかん：子癇</t>
  </si>
  <si>
    <t>■■：シャチュウ：あしくびのそとがわにまがる：内反足</t>
  </si>
  <si>
    <t>邪祟：ジャスイ：つきもの：緊張病・アメンチャ・妄覚病</t>
  </si>
  <si>
    <t>蛇皮：ジャヒ：はたけ：糠粃疹</t>
  </si>
  <si>
    <t>重身：ジュウシン：かいにん：妊娠</t>
  </si>
  <si>
    <t>酒■鼻：シュサビ：ざくろはな：酒■鼻</t>
  </si>
  <si>
    <t>消渇：ショウカチ：かわきのやまい：糖尿病</t>
  </si>
  <si>
    <t>傷寒：ショウカン：ねつびょう：熱病・腸チフスの類</t>
  </si>
  <si>
    <t>小戸嫁痛：ショウコカツウ：まえのもんさける：陰膣裂傷</t>
  </si>
  <si>
    <t>衝疝：ショウセン：てもあてられぬはらいたみ：急性穿孔性腹膜炎</t>
  </si>
  <si>
    <t>蒸熱：ジョウネツ：さんごのちちねつ：生乳熱</t>
  </si>
  <si>
    <t>食傷：ショクショウ：しょくあたり：急性胃炎</t>
  </si>
  <si>
    <t>食迷風：ショクメイフウ：むかつき：嘔吐・悪心</t>
  </si>
  <si>
    <t>褥熱：ジョクネツ：さんごのもつれ：産褥熱</t>
  </si>
  <si>
    <t>褥労：ジョクロウ：さんごのつかれ：産後結核症</t>
  </si>
  <si>
    <t>心下悸：シンカキ：どうき：心悸亢進</t>
  </si>
  <si>
    <t>心気病：シンキビョウ：きふさぎ：神経衰弱</t>
  </si>
  <si>
    <t>心痛：シンツウ：むねのうちのいたみ：心内膜炎・心筋炎・心膜炎など</t>
  </si>
  <si>
    <t>心■：シンショウ：むなさわぎ：神経性心悸亢進</t>
  </si>
  <si>
    <t>心動悸：シンドウキ：どうき：心臓弁膜症・動悸</t>
  </si>
  <si>
    <t>心風：シンプウ：きやみ：ヒポコンドリー</t>
  </si>
  <si>
    <t>腎虚：ジンキョ：じんきょ：精力減退</t>
  </si>
  <si>
    <t>腎嚢風：ジンノウフウ：いんきんたむし：陰部湿疹</t>
  </si>
  <si>
    <t>真心痛：シンシンツウ：はやうちかた：狭心症</t>
  </si>
  <si>
    <t>真頭痛：シンズツウ：あたまのさけるほどのいたみ：脳膜炎の類</t>
  </si>
  <si>
    <t>神仙労：シンセンロウ：くわざるやまい：精神病的不食症</t>
  </si>
  <si>
    <t>水気：スイキ：すいき：腎炎の類</t>
  </si>
  <si>
    <t>水疱：スイホウ：やぶいも：水痘</t>
  </si>
  <si>
    <t>■目：キモク：すがめ：眼瞼挙筋麻痺</t>
  </si>
  <si>
    <t>頭瘟：ズウン：なべかぶり：頭部丹毒</t>
  </si>
  <si>
    <t>頭瘡：ズソウ：たいどく：頭部湿疹</t>
  </si>
  <si>
    <t>寸白蟲：スンパクチュウ：さなだむし：条虫</t>
  </si>
  <si>
    <t>星翳：セイエイ：めぼし：角膜翳</t>
  </si>
  <si>
    <t>臍風撮口：セイフサツコウ：つぼぐち：初生児破傷風</t>
  </si>
  <si>
    <t>青盲：セイモウ：あをそこひ：緑内障</t>
  </si>
  <si>
    <t>雪口：セキコウ：しろじた：鵞口瘡</t>
  </si>
  <si>
    <t>蹠足：セキソク：あしくびのそとがわにまがる：外反足</t>
  </si>
  <si>
    <t>赤遊丹：セキユウタン：もえくさ：遊送丹毒</t>
  </si>
  <si>
    <t>石■：セキカ：おなかのかたまり：卵巣嚢腫・畸形腫</t>
  </si>
  <si>
    <t>石淋：セキリン：小便に石のでるやまい：腎結石・膀胱結石</t>
  </si>
  <si>
    <t>舌疳：ゼツカン：ぜっそ：舌癌</t>
  </si>
  <si>
    <t>疝気：センキ：せんき：腸神経痛・睾丸炎・精系炎など</t>
  </si>
  <si>
    <t>喘急：ゼンキュウ：ぜんそく：気管支喘息の類</t>
  </si>
  <si>
    <t>顫振：センシン：かん：舞踏病・振戦麻痺の類</t>
  </si>
  <si>
    <t>閃肭：セントツ：こえふとるやまい：小児肥胖病</t>
  </si>
  <si>
    <t>瘡建：ソウケン：いぬこどころのしこり：鼠蹊腺炎</t>
  </si>
  <si>
    <t>臓躁：ぞうそう：ちのみち：ヒステリー・子宮痙攣</t>
  </si>
  <si>
    <t>嘈雑：ソウザツ：むねやけ：胃酸過多症</t>
  </si>
  <si>
    <t>臓毒：ゾウドク：ぞうどく：直腸ガンの類</t>
  </si>
  <si>
    <t>走馬疳：ソウバカン：はくさ：水癌</t>
  </si>
  <si>
    <t>息胞：ソクホウ：えなのおりざる：胞衣不下</t>
  </si>
  <si>
    <t>卒魘：ソツエン：うなされる：精神分裂病</t>
  </si>
  <si>
    <t>卒中風：ソッチュウフウ：そっちゅう：脳溢血</t>
  </si>
  <si>
    <t>滞頤：タイイ：よだれくり：唾液過泄</t>
  </si>
  <si>
    <t>胎黄：タイオウ：あかごのおうだん：初生児黄疸</t>
  </si>
  <si>
    <t>胎刺：タイシ：ちのはな：嬰児紅疹</t>
  </si>
  <si>
    <t>胎■：タイショウ：よわむし：小児発育不全</t>
  </si>
  <si>
    <t>胎毒：タイドク：たいどく：遺伝梅毒</t>
  </si>
  <si>
    <t>大眦漏：タイシロウ：なみだのでるやまい：涙嚢膿漏</t>
  </si>
  <si>
    <t>㿗疝：タイセン：おおぎんたま：陰嚢象皮病</t>
  </si>
  <si>
    <t>脱疽：ダッソ：だっそ：脱疽</t>
  </si>
  <si>
    <t>短蟲：タンチュウ：しりのあなにうじがわく：蟯虫</t>
  </si>
  <si>
    <t>癡■：チガイ：ふぬけばか：痴呆</t>
  </si>
  <si>
    <t>■搦：チクジャク：ひきつける：痙攣・急癇</t>
  </si>
  <si>
    <t>中悪：チュウアク：悪気の毒：ガス中毒</t>
  </si>
  <si>
    <t>中暍：チュウエツ：日にてりつけられた：熱射病</t>
  </si>
  <si>
    <t>癥瘕：チョウカ：下はらのかたまり：子宮血塊</t>
  </si>
  <si>
    <t>釘翳：チョウエイ：ほしくずれ：角膜潰瘍</t>
  </si>
  <si>
    <t>腸覃：チョウタン：ちょうまん：卵巣水腫・嚢腫</t>
  </si>
  <si>
    <t>腸癰：チョウヨウ：はらわたのできもの：虫垂炎の類</t>
  </si>
  <si>
    <t>脹滿：チョウマン：ちょうまん：腹水・滲出性慢性腹膜炎</t>
  </si>
  <si>
    <t>痛風：ツウフウ：つうふう：筋肉リウマチの類</t>
  </si>
  <si>
    <t>溺血：デキケツ：小便に血のでるやまい：腎結核・血尿</t>
  </si>
  <si>
    <t>転筋：テンキン：すじつまり・こむらがえり：局発筋肉痙攣</t>
  </si>
  <si>
    <t>転胞：テンポウ：しょうべんつまり：小便閉・膀胱痙攣</t>
  </si>
  <si>
    <t>天行赤眼：テンコウセキガン：はやりめ：急性結膜炎</t>
  </si>
  <si>
    <t>天行中風：テンコウチュウフウ：はやりかぜ：インフルエンザ</t>
  </si>
  <si>
    <t>天泡瘡：テンホウソウ：うわやけ：天疱瘡</t>
  </si>
  <si>
    <t>転■：テンホウ：さんごの小便つまり：産後尿閉</t>
  </si>
  <si>
    <t>癜風：デンプウ：なまず：黄斑</t>
  </si>
  <si>
    <t>桃花■：トウカシュ：ろうしょう：紅顔肺労・載陽・奔馬性結核</t>
  </si>
  <si>
    <t>倒睫拳毛：トウショウケンモウ：さかさまつげ：睫毛乱生症</t>
  </si>
  <si>
    <t>禿瘡：トウソウ：げじげじになめられた：円形脱毛症・禿頭</t>
  </si>
  <si>
    <t>吐乳：トニュウ：ちちはくやまい：小児慢性嘔吐</t>
  </si>
  <si>
    <t>妬乳：トニュウ：ちちのはれもの：乳房炎</t>
  </si>
  <si>
    <t>頓嗽：トンソウ：けいけいしやぶき：百日咳・疫咳</t>
  </si>
  <si>
    <t>耳瘡：ニソウ：みみのなかのはれいたむ：外聴道炎</t>
  </si>
  <si>
    <t>耳聤聹：ニテイネイ：みみあかのたまり：耳垢</t>
  </si>
  <si>
    <t>乳疳：ニュウカン：ちとのはれもの：乳頭砂裂</t>
  </si>
  <si>
    <t>乳巌：ニュウガン：にゅうがん：乳癌</t>
  </si>
  <si>
    <t>乳閉：ニュウヘイ：ちちのですくなし：乳汁不足症</t>
  </si>
  <si>
    <t>乳流：ニュウル：ちちのはりすぎ：乳汁漏</t>
  </si>
  <si>
    <t>聹耳：ネイニ：みみだれ：耳漏</t>
  </si>
  <si>
    <t>脳漏：ノウロウ：のうみそくさり：前頭洞化膿症・脳軟化</t>
  </si>
  <si>
    <t>肺痿：ハイイ：はいしぼむ：肺結核の１症</t>
  </si>
  <si>
    <t>梅核気：バイカクキ：梅のたねのどにあるごとき病：食道ケイレン</t>
  </si>
  <si>
    <t>黴痔：バイジ：かさどく：扁平コンジローム</t>
  </si>
  <si>
    <t>黴瘡：バイソウ：かさ：梅毒</t>
  </si>
  <si>
    <t>肺脹：ハイチョウ：いきぎれする：肺炎・喘息の類</t>
  </si>
  <si>
    <t>肺癰：ハイヨウ：はいのくされ：肺臓膿瘍・肺壊疽</t>
  </si>
  <si>
    <t>白眼痛：ハクガンツウ：かさめ：虹彩炎・網膜炎</t>
  </si>
  <si>
    <t>白癜風：ハクデンプウ：しろなまず：白斑・白皮症</t>
  </si>
  <si>
    <t>白内障：ハクナイショウ：しろそこひ：白内障</t>
  </si>
  <si>
    <t>白禿風：ハクトウフウ：しらくも：白癬</t>
  </si>
  <si>
    <t>白頂瘡：ハクチョウソウ：ふけ：白癬屑</t>
  </si>
  <si>
    <t>破傷風：ハショウフウ：そりのやまい：破傷風</t>
  </si>
  <si>
    <t>八脚蟲：ハッキャクチュウ：とびしらみ：陰毛虱</t>
  </si>
  <si>
    <t>初内生虱：ハツナイシツ：あたまにしらみわく：頭虱</t>
  </si>
  <si>
    <t>馬牙瘡：バガソウ：こうちゅうふざけ：ジフテリー性口内炎</t>
  </si>
  <si>
    <t>馬脾風：バヒフウ：ばひふう：咽喉ジフテリー</t>
  </si>
  <si>
    <t>半産：ハンザン：りゅうざん：流産</t>
  </si>
  <si>
    <t>鼻淵：ビエン：はなうみのでるやまい：上顎洞化膿症</t>
  </si>
  <si>
    <t>鼻痔：ビジ：はなたけ：鼻茸</t>
  </si>
  <si>
    <t>脾胃虚：ヒイキョ：ひいのそんじ：痿弱・アトニー・下垂症など</t>
  </si>
  <si>
    <t>脾疳：ヒカン：かんのむし：小児痩削病・結核性腹膜炎</t>
  </si>
  <si>
    <t>脾腎瀉：ヒジンシャ：あけがたくだりやまい：腸結核の類</t>
  </si>
  <si>
    <t>脾疼：ヒトウ：いのいたみ：胃痙攣・胃酸過多症</t>
  </si>
  <si>
    <t>筆磬：ヒッケイ：ふしぶしのかたくなる：関節硬直</t>
  </si>
  <si>
    <t>皮痺：ヒヒ：かわはだのしびれ：皮膚知覚異常</t>
  </si>
  <si>
    <t>百合病：ヒャクゴウビョウ：とりとめなきやまい：伝染病後精神衰弱状態</t>
  </si>
  <si>
    <t>白虎歴節風：ビャッコレキセツフウ：ふしぶしのはげしきいたみ：急性多発性関節リウマチ</t>
  </si>
  <si>
    <t>風眼：フウガン：ふうがん：膿漏眼</t>
  </si>
  <si>
    <t>風犬傷：フウケンショ：わるいいぬにかまれた病：狂犬病・恐水病</t>
  </si>
  <si>
    <t>風舌強：フウゼツキョウ：したのしびれるやまい：舌神経麻痺</t>
  </si>
  <si>
    <t>伏気死：フクキシ：あくきのどく：ガス中毒</t>
  </si>
  <si>
    <t>伏梁：フクリョウ：さしこみ：胃痙攣・心下の積塊</t>
  </si>
  <si>
    <t>附骨疽：フコツソ：ほねのくさるやまい：骨壊疽</t>
  </si>
  <si>
    <t>■瘡：フツソウ：あせも：汗疹</t>
  </si>
  <si>
    <t>壁虱：ヘキシツ：だに：牛蝨</t>
  </si>
  <si>
    <t>癖嚢：ヘキノウ：むねつかえ：慢性胃炎</t>
  </si>
  <si>
    <t>便血：ベンケツ：ちのくだるやまい：腸出血・痔出血</t>
  </si>
  <si>
    <t>便濁：ベンダク：小便のにごるやまい：腎炎・膀胱炎その他</t>
  </si>
  <si>
    <t>偏枯：ヘンコ：かたみしびれ：半身不随・偏■</t>
  </si>
  <si>
    <t>偏視：ヘンシ：やぶにらみ：斜視</t>
  </si>
  <si>
    <t>変蒸：ヘンジョウ：ちえねつ：腺熱</t>
  </si>
  <si>
    <t>駢拇：ヘンボ：くつつきあいのゆび：手指癒着</t>
  </si>
  <si>
    <t>疱瘡：ホウソウ：ほうそう・もがき：天然痘</t>
  </si>
  <si>
    <t>崩漏：ホウロウ：ちくづれ：子宮出血・子宮ガン</t>
  </si>
  <si>
    <t>奔豚気：ホントンキ：きしやく：ヒステリー球・狭心症の１症</t>
  </si>
  <si>
    <t>暴瀉：ボウシャ：はきくだし：コレラの類</t>
  </si>
  <si>
    <t>反胃：ホンイ：あげる：慢性嘔吐・胃ガンの類</t>
  </si>
  <si>
    <t>翻花瘡：ホンカソウ：かん：髄様癌</t>
  </si>
  <si>
    <t>麻木：マボク：しびれ：麻痺</t>
  </si>
  <si>
    <t>麻疹：マシン：はしか：麻疹</t>
  </si>
  <si>
    <t>三日坊：ミッカボウ：ころり：コレラの類</t>
  </si>
  <si>
    <t>夢洩精：ムエイセイ：もうぞう：夢精</t>
  </si>
  <si>
    <t>面痛：メンツウ：かおのいたみ：三叉神経痛の類</t>
  </si>
  <si>
    <t>母多足：モタアシ：こえすね：象皮病</t>
  </si>
  <si>
    <t>木舌：モクゼツ：したはれいたむ：舌炎</t>
  </si>
  <si>
    <t>拗頸：ヨウケイ：くびまがり：斜頚</t>
  </si>
  <si>
    <t>癰疽：ヨウソ：よう：癰疽</t>
  </si>
  <si>
    <t>楊梅瘡：ヨウバイソウ：なんばがさ：悪性梅毒発疹</t>
  </si>
  <si>
    <t>油風：ユフウ：やかんあたま：禿頭</t>
  </si>
  <si>
    <t>落架風：ラッカフウ：あごのはずれ：下顎脱臼</t>
  </si>
  <si>
    <t>爛弦風：ランゲンフウ：ただれ目：眼瞼縁炎</t>
  </si>
  <si>
    <t>爛喉丹■：ランコウタンシャ：ばひふう：ジフテリアの類</t>
  </si>
  <si>
    <t>■黒斑：リコクハン：そばかす：雀斑</t>
  </si>
  <si>
    <t>痢病：リビョウ：りびょう：赤痢・大腸カタルの類</t>
  </si>
  <si>
    <t>瘰癧：ルイレキ：るいれき：頚部リンパ腺結核</t>
  </si>
  <si>
    <t>類中風：ルイチュウフウ：ちゅうふう：卒中様発作</t>
  </si>
  <si>
    <t>流注：ルチュウ：ふうどく：流注膿瘍・淋巴管炎</t>
  </si>
  <si>
    <t>歴節風：レキセツフウ：ふしぶしのいたみ：慢性関節リウマチ</t>
  </si>
  <si>
    <t>攣胎：レンタイ：ふたご。みつご：多児出産</t>
  </si>
  <si>
    <t>労■：ロウサイ：ろうがい：肺結核</t>
  </si>
  <si>
    <t>狼瘡：ロウソウ：かさ：</t>
  </si>
  <si>
    <t>■腿風：ワイタイフウ：あしなえよいよい：脊髄労</t>
  </si>
  <si>
    <t>伊沢凡人</t>
  </si>
  <si>
    <t>●病名・症状名の略解(五十音順)：伊沢凡人</t>
    <phoneticPr fontId="6"/>
  </si>
  <si>
    <t>＊1978年（昭和53）『鍼灸医学典籍大系』第23巻『医心方』より</t>
  </si>
  <si>
    <t>これは、医心方巻二鍼灸篇に登場するツボの「主治」のところに出てくる病名や症状名のうちで、わかりにくそうな術語を、現代語訳を担当された吉田寅先生が読者のために随時ピックアップしてくれたので、それに、今日的に見ての解説を施したものである。昔の本の説明では、何を言おうとしているのか言葉があって意味が通じにくいのではなんにもならない。そこで、この立場から見て、この略解がいささかでも役に立つなら幸いである。</t>
  </si>
  <si>
    <t>○痿厥(イケツ)：腰から下が冷え、「なえ」弱っている状態。「なえ」とは、関節の運動が正しく動かないことである。だから正確にいうと、足腰が冷え弱っているだけではないことになる。</t>
    <phoneticPr fontId="6"/>
  </si>
  <si>
    <t>○陰痿(インイ)：ほぼ、現在のインポテンツにあたる。</t>
  </si>
  <si>
    <t>○陰寒(インカン)：陰部の寒、つまり冷え。今、陰部の寒で起る病気は何かと問われれば漠然としすぎていて答えにくいが、肺の冷えを例にとると、肺寒は咳と成るとあるから昔の人は、そのように考えていたということ。</t>
  </si>
  <si>
    <t>○陰疝(インセン)：陰部の疼痛。従って、その誘因は一様でない。疝は古くはアタハラと読み腹部にくる急激な痛みのことを指していた。</t>
  </si>
  <si>
    <t>○癭(エイ)：現在の甲状腺腫にあたる由(富士川游博士の考察)。癭瘤(エイリュウ)は、コブのこと。癭瘻(エイロウ)は説文に頸腫(けいしゅ)とあり、瘻は腫瘍(シユヨウ)(できもの)が破れ瘻孔のあく状態であるから今の頸腺結核にほぼあたる。</t>
  </si>
  <si>
    <t>○悪感(オカン)：唐代において、病気は、ほぼ外因(風)と内因(喜・怒・憂・思)によって起るものと考えられていた。その風に当り寒気がする場合、これを悪風と名づけ、風にあたらなくともゾクゾクする場合を悪寒と名づけ、悪風より重いとした。漢法における認識では、実証者は、一般に高熱を以て発症する。</t>
  </si>
  <si>
    <t>○瘧(オコリ）：痎瘧（がいぎゃく)の項を見よ。</t>
  </si>
  <si>
    <t>○䜑風(オフウ)(悪風)：悪感の項を見よ。</t>
  </si>
  <si>
    <t>○痂疥(カカイ)：痂は痂皮、つまりカサブタのこと。カサブタをかぶった皮膚病ということだが、代表的な場合でいうと、湿疹のある時期、ジクジクした線維素(せんいそ)を含んだ滲出液(しんしゅつえき)が出て、それが空気にふれ凝固(ぎょうこ)して痂皮(かさぶた)となる。だから痂疥は皮疹(ひしん)(皮膚病)のある時期を指す。そして、漿液性(しょうえきせい)の滲出液は痂皮となり、血液性の滲出液では血痂(けつか)を生ずる。痂癬(かいせん)の場合にも見られる。</t>
  </si>
  <si>
    <t>○痎瘧(ガイギャク)(欬逆)・咳嗽(ガイソウ)(欬嗽)・痰(タン)・瘧(オコリ)：瘧(ギャク)は和名鈔ではエヤミで、説文にいうとして悪寒と発熱が同時に起り二日に一発の病也とあり、これは、マラリアだが、医心方巻二には、百会・上星・神庭・少海穴の主治の項に咳瘧があり、そして、百会・神庭の項ではそれにシハフキと訓じてある。シハフキは咳嗽(がいそう)(咳)のことで、和名鈔では病源論を引用し、咳嗽は肺が寒の気を受けて成る也とある。また■瘧は欬逆で、廉泉・天容・水突・気舎・尺沢・曲沢・膏肓輸・魄戸・惑中・神蔵・神封・庫房・雲門・天谿・維道・行間・竅陰穴の項では咳逆の文字が使われており、とくに込みあげてくる咳を咳逆と呼ぶことがある。なお単に咳と記してあるのは大鐘と隔輸穴だが、隔兪の場合は痰と解すべきであろう。このほか痰とあるのは神道穴の項だが、痰は現在では痰咳(たんがい)ともいい咳・痰を意味するが、この頃の咳は痰飲といって主として胃内停水(振水音で、これは内臓下垂症患者に見られる)を指す。瘧と一字記してあるのは小海、至陰穴の項であり、湧泉穴の項では喘逆と記されている。以上簡単に考証を試みたが痎瘧は咳逆(咳嗽)のことで、瘧(おこり)(マラリア)とは解しがたい。</t>
  </si>
  <si>
    <t>○霍乱(カクラン)：集験方(しゅうけんほう)には嘔気(はきけ)があって吐利するものを霍乱というとあり、和名鈔にはシリヨリクチヨリコクヤマヒと訓じ、尻と口から物を出す病だとし、漢書に、南越には霍乱の病多しとある。吐き下しのことで、ほぼ現代の食中毒にあたる。</t>
  </si>
  <si>
    <t>○脚気(カッケ)：医心方では蘇敬(そけい)の説として、晋宋以前は緩風となす。古来、脚気の名無く、後人、病が脚より起り、初め腫満するを以て脚気と名づくとあり、和名鈔では俗に阿光之介(アシノスケ)というと当時の呼び名を記している。そして、まだ心性浮腫との区別のつかぬ時代であった。明治期まで、わがくにでは「江戸わづらい」と称し、地方から江戸へ奉公にきた青少年は脚気になると都会の水になじめぬからだといって帰され、糖と赤小豆(あづき)で治療した。日露役の頃、脚気ということで野戦病院に送られてきた兵士のなかには栄養障害性の浮腫患者がかなりあった。今はB1で治る。</t>
  </si>
  <si>
    <t>○乾嘔(カンオウ)：嘔吐の一種だが、ゲーゲーするのみで吐出物のない場合を指す。</t>
  </si>
  <si>
    <t>○気逆(キギャク)：気が上方に昇って不安定な状態になること。のぼせ、上衝(じょうしょう)ともいう。</t>
  </si>
  <si>
    <t>○脇下満(キョウカマン)：季肋下の張っているもののことで、とくに硬い場合を脇下硬満といい、胸脇苦満や心下痞硬と一緒になっている場合がある。胆嚢・胆管・胆石などの病気に溜意を要する徴候の一つ。</t>
  </si>
  <si>
    <t>○驚癇(キョウカン)：驚は驚風のこと。驚風は脳膜炎やその他高熱時などに見られる「ひきつけ」の病い(小児急癇)、癇は子供にくる夜啼症、夜驚症、激情痙攣などを指す。東洋には、古来、五癇(五疳)驚風という術語があり、指の爪甲根部への小児鍼や施灸が、しばしば効を奏する。</t>
  </si>
  <si>
    <t>○胸脇苦満(キョウキョウクマン)：季肋部に膨満感があって重苦しい上に、肋骨弓の下縁から胸腔内に向け指を入れ圧迫してみると抵抗があって入りにくい状態をいい、湯液では右側の場合、柴胡剤の適応とし、胆・肝の病気を推測する。左側の場合は膵、脾疾患に配慮し、ツボは脊椎の両側にある。ただし、癌性や胆石性の場合もあることに留意せねばならない。</t>
  </si>
  <si>
    <t>○胸痺(キョウヒ)：痺は狭窄のことで、胸が急につまり痛むような病気のこと。今式にいえば、肋間神経痛、狭心症、心筋梗塞なども、このなかに含まれよう。わが国でいう「胸虫」は、ほぼ、これにあたる。</t>
  </si>
  <si>
    <t>○胸満(キョウマン)：胸脇苦満のこと。その項をみよ。</t>
  </si>
  <si>
    <t>○脇満：脇下満、胸脇苦満の項をみよ。</t>
  </si>
  <si>
    <t>○瘈瘲(ケイジュウ)：セイショウを見よ。</t>
  </si>
  <si>
    <t>○厥逆(ケツギャク)：四肢の厥冷のはなはだしいもののこと。また手足に始まり全身が冷えてくること。</t>
  </si>
  <si>
    <r>
      <t>○</t>
    </r>
    <r>
      <rPr>
        <sz val="11"/>
        <color theme="1"/>
        <rFont val="ＪＳ平成明朝体W3"/>
        <family val="3"/>
        <charset val="134"/>
      </rPr>
      <t>蛊</t>
    </r>
    <r>
      <rPr>
        <sz val="11"/>
        <color theme="1"/>
        <rFont val="ＭＳ Ｐゴシック"/>
        <family val="3"/>
        <charset val="128"/>
      </rPr>
      <t>？(蠱)（コ）：腰その他が重苦しく痛む状態。膠原病素因を疑わせるような徴候を指すと見るべきか。</t>
    </r>
  </si>
  <si>
    <t>○喉痺(コウヒ)：病源候論に、喉裏腫れ塞がり痺痛し、水漿入るを得ず、是也とあり、平安朝期はコヒと呼んでいた。痺は狭窄のことであり、狭炎、主として今の扁桃炎を指す。咽頭ジフテリア(馬痺、馬喉痺)も含め、そう呼んでいた場合があったかもしれない。</t>
  </si>
  <si>
    <t>○尸厥(シケツ)：だいたい今いう仮死状態のこと。</t>
  </si>
  <si>
    <t>○積(シャク)気：積は積聚の略。次項を見よ。</t>
  </si>
  <si>
    <t>○積聚病(シャクジュウ)：病源候論には、積は陰の気で五臓に発生し、その部位を離れないが、聚は陽の気で六腑に発症し、その痛みは一ヵ所に留らず移動するとある、つまり積も聚も腹内の壅積(堅塊ーハラノシコリ)を指すが、積のほうは形があって移動しないというから本来は腹部内臓の腫瘍を指し、聚は、主としてイレウスなどの場合を指し、昔なりに一応の区別はしたものと思われる。それが、わが国では、次第に、胆石、膵炎などに伴う痛みや腸疝痛一般など、胸腹部に起る疝痛発作全般を積（シャク)の病(やまい)と呼ぶようになり、疝積(せんしゃく)または虫積ともいった。</t>
  </si>
  <si>
    <t>○消渇(ショウカチ)：渇がはなはだしくて尿利の少ない場合に用いられた言葉だが、次第に、口渇多尿の称呼となり、今日的にいえば、ほぼ糖尿病にあたる。ただし、わがくにでいう消渇は膀胱炎のこと。</t>
    <phoneticPr fontId="6"/>
  </si>
  <si>
    <t>○小児(ショウニ)の疳(カン)：古今医統(ここんいとう)によれば、元来、大人の場合を癲(癲癇)といい、子供の場合を癇という由だが、わがくにでは子供のひきつけ(激情痙攣など)を疳の虫のしわざだとし、虫封じや時には虫下し(腸寄生虫の駆除薬)を投与する風が未だにある。しかし、この虫は虫歯という場合の虫と同じであって病気の誘因を指したものである。疳眼(角膜の乾燥)の虫はビタミンＡの不足であり、脾疳(腸間膜リンパ腺結核)の虫は結核菌である。</t>
  </si>
  <si>
    <t>○小腹満(ショウフクマン)：小腹は下腹部(したはら)のこと。従って下腹部(下焦)の膨満(ぼうまん)のことだが、一般に瘀血(おけつ)のある場合にあらわれる。もし小腹満があり、さらに他覚的にも抵抗を触知した場合は、小腹硬満(こうまん)といい、子宮筋腫、卵巣嚢腫、子宮癌などをも疑わねばならない場合があるので注意。</t>
  </si>
  <si>
    <t>○心下堅：心下とは剣状突起の下端(胸骨下端の突出部で長く軟骨性にとどまり、中年を過ぎて完全に骨化する)を頂点とし、左右の乳線と肋骨弓が交わる二つの点を横に結んだ線を、ほぼ底辺とする三角形の部位を指す。この部位が重苦しくつかえ(痞自覚的)、圧すとかたい場合(他覚的)、心下堅硬、心下硬、心下痞、心下痞満、心下痞硬、心下堅満などという。つまり痞、満は多分に自覚的症状を、硬、堅は他覚的症状を意味し、圧した場合の抵抗感を示す。これに胸脇苦満の合併することがある。(胸脇苦満の項も見よ)。反対に、心下痞だが、心下部は軟弱で抵抗感のないものを心下軟という。</t>
  </si>
  <si>
    <t>○心下満(シンゲマン)：心下堅の項を見よ。</t>
  </si>
  <si>
    <t>○心痺(シンヒ)：痺は狭窄を意味する。狭心症、心筋硬塞に見られる胸苦しさなどを想定すべきか。なお、胸痺の項も見よ。</t>
  </si>
  <si>
    <t>○心腹痛(シンフクツウ)：だいたい上腹部痛のこと。</t>
  </si>
  <si>
    <t>○心腹満(ンンフクマン)：心下満。心下堅の項を見よ。</t>
  </si>
  <si>
    <t>○悽厥(セイケツ)：足の厥冷(冷えること)。</t>
  </si>
  <si>
    <t>○瘈瘲(セイショウ)：ひきつける病一般を指す。驚風、小児の癇の項を見よ。</t>
  </si>
  <si>
    <t>○清盲(セイモウ)：和名鈔には俗にいう阿岐之比(アキシヒ)として当時の和名があり、病源候論には、眼本異なることなく瞳子、黒白分明なり、ただ物を見ざるのみとあって、現代のほぼ白内障(しろそこひ)にあたる。</t>
  </si>
  <si>
    <t>○石水(セキスイ)：下腹部が腫れ石のように堅くなること。小腹満の項も見よ。</t>
  </si>
  <si>
    <t>○疝瘕(センカ)：疝は腹痛のことだが、当時は、風冷が腹内に入って疝を起すものと解釈していた。和名鈔ではアタハラ(腹の中毒の意か)と訓じ、釈名にいうとして、腹の急痛、つまり突発する腸疝痛一般を指す。病源候論によれば、聚(じゅう)結内に在り、漸次生長し、……移動しないものが癥(ちょう)、結瘕あるも移動するものを瘕と名づくとあり、瘕は良性で治し得る腸内の塊であることがわかる。宿便やガスなどによるイレウスは腸管内の流れをよくしてやることで予防及び治療が可能である。積聚の項も見よ。</t>
  </si>
  <si>
    <t>○疝痛(センツウ)：疝については前項を見よ。</t>
  </si>
  <si>
    <t>○怚(ソ)(阻)：飲食を阻隔するという意味で、悪心を伴えば悪阻であり、妊婦にくるものを妊娠悪阻(つわり)という。はきけ以外にも、いろいろな誘因に基ずく。婦人の不定愁訴一般をも阻という。</t>
  </si>
  <si>
    <t>○瘜肉(ソクニク)：傷口(組織の欠損部)が治る過程では肉芽組織(増殖しつつある若い結合織)が増殖して欠損部を修復するが、時に異状組織の発育することがあり、これが瘜肉である。異常組織とは正常とは異なる生活(メタボリズム)を営む組織のことだが、疣贅(いぼ)や癌もまたなんらかの誘因で発症した異常組織である。</t>
  </si>
  <si>
    <t>○頽疝(タイセン)(〔疒+頽〕疝)：陰嚢または睾丸の大きくなる病気のこと、つまり、脱腸、陰嚢水腫、睾丸炎などが包含されよう。</t>
  </si>
  <si>
    <t>○痰(タン)（痰飲)：痎瘧(がいぎゃく)の項を見よ。</t>
  </si>
  <si>
    <t>○短気(タンチ)：呼吸困難のこと。</t>
  </si>
  <si>
    <t>○頭眩(ヅゲン)：眩暈(めまい)のはなはだしい状態。</t>
  </si>
  <si>
    <t>○転筋(テンキン)：こむらがえり。</t>
  </si>
  <si>
    <t>○癲失気(テンシキ)：放屁のことで、転気ともいう。</t>
  </si>
  <si>
    <t>○癲疾(テンシツ)：小児の癇の項を見よ。</t>
  </si>
  <si>
    <t>○転胞(テンポウ)：尿閉のこと。</t>
  </si>
  <si>
    <t>○溏瘕(トウカ)：溏は軟便、瘕については疝瘕の項を見よ。そこで、溏瘕は腹に異常があって下痢すること。</t>
  </si>
  <si>
    <t>○溏泄(トウセツ)：泄は、便などの排泄のこと。溏泄は軟便の排泄、つまり下痢を指す。</t>
  </si>
  <si>
    <t>○衃血(ハイケツ)：衃は瘀血(おけつ)のこと。衃血は敗血とも書き、やはり、瘀血のこと。</t>
  </si>
  <si>
    <t>○馬癇(バカン)：馬喉痺(ばこうひ)(馬脾風(ばひふう))は、ほぼジフテリアのことだが、ジフテリアのさいに見られる呼吸困難(心部の癇つまり胸しさ)やシャガレ声、動物の鳴き声に似た咳、嚥下障害などの諸症状を指す言葉かと思われる。</t>
  </si>
  <si>
    <t>○馬刀(バトウ)：リンパ腺腫脹のこと。そこで馬刀侠癭(ばとうきょうえい)は頸腺(けいせん)結核、つまりルイレキのこと。</t>
  </si>
  <si>
    <t>○煩嘔(ハンオウ)：煩は熱が半表半裏(だいたい胸部)に欝積する(こもる)ことで誘発される胸苦しさのこと。皮膚に発すれば熱という。煩嘔は胸苦しさと嘔きけのこと。</t>
  </si>
  <si>
    <t>○煩心(ハンシン)：胸苦しさ。</t>
  </si>
  <si>
    <t>○風逆(フウギャク)：風にて、気が内逆することだというが、今流にいえば、発汗を必要とする状態と見るべきか。</t>
  </si>
  <si>
    <t>○腹満(フクマン)：腹部の膨満感が主徴で、他覚的には腹部がふくらんでいる場合もあるが、そうでない場合もある。腹満には、腹膜炎、腸癌、腸捻転、腸重畳、宿便、ガスの停滞、肝障害(腹水)などもかかわりがあるので注意。</t>
  </si>
  <si>
    <t>○腹鳴(フクメイ)：腹中雷鳴ともいい、腹中のゴロゴロ。</t>
  </si>
  <si>
    <t>○暴瘖(ボウイン)：急に瘖(おし)となること。</t>
  </si>
  <si>
    <t>○暴聾(ボウロウ)：急に聾(つんぼ)となること。</t>
  </si>
  <si>
    <t>○賁㹠(ホントン)（奔豚)：一般的には下腹から心下に突きあげ、息も絶えそうな状態を指していう。そこで、急性膵炎や胆石に伴う発作性の疝痛、平素便秘があって、そこへ狭心症、心筋梗塞の発作性疼痛がきた場合も含まれると思われるが、現在は、発作性の心悸亢進症、ヒステリー発作と解されている。</t>
  </si>
  <si>
    <t>○目眩(モクゲン)：物を見るとおこるめまいのこと。</t>
  </si>
  <si>
    <t>○目転(モクテン)：眼が眩(くら)み、上気すること。気逆の項も見よ。</t>
  </si>
  <si>
    <t>○目瞑(モクメイ)：眼があかりや光をおそれる状態。</t>
  </si>
  <si>
    <t>○癰(ヨウ)：和名鈔には、釈名にいうとして、気壅結し潰れざる也とある。ブドー球菌による毛嚢周囲炎を疔(フルンケル)といい、多数の毛嚢が同時に犯された場合が癰(カルプンケル)である。つまり、大きい「おでき」のこと。根太(ねぶと)も癰である。</t>
  </si>
  <si>
    <t>○裏急(リキュウ)：大腸に病気があって起る下痢は、便量は多くないが排便の回数が多い。つまり排便後も残糞感があって、また便意がおこり、行きたくなるとたまらなくなる。これが裏急後重(しぶり)で、西洋医学では赤痢などでは一つの特徴ともされている。東洋では腹裏すなわち腹の皮の下で拘縮(こうしゅく)(拘攣(こうれん))が起り引っぱられている感じがするのを裏急というが腹直筋が関与している場合もあれば、そうでない場合もある。例えば、腹膜炎などで腹が張り突っぱる感じなどをも裏急としているし、腸管の蠕動亢進がはなはだしく痛んで触れられないような場合をも裏急とする。</t>
  </si>
  <si>
    <t>○臚脹(ロチョウ)：腹のふくれ。</t>
  </si>
  <si>
    <t>鍼灸手引草</t>
    <phoneticPr fontId="6"/>
  </si>
  <si>
    <t>久木田七郎 著</t>
    <phoneticPr fontId="6"/>
  </si>
  <si>
    <t>鍼灸手引草</t>
  </si>
  <si>
    <t>出版者　日本警察新聞社</t>
  </si>
  <si>
    <t>出版年月日　大正1年(1912)</t>
    <rPh sb="6" eb="16">
      <t>t1</t>
    </rPh>
    <phoneticPr fontId="6"/>
  </si>
  <si>
    <t>身体虚弱</t>
  </si>
  <si>
    <t>労瘵（癆瘵）</t>
    <phoneticPr fontId="6"/>
  </si>
  <si>
    <t>陰萎縮</t>
  </si>
  <si>
    <t>子宮脱　小便不通</t>
    <phoneticPr fontId="6"/>
  </si>
  <si>
    <t>陰茎疼痛</t>
  </si>
  <si>
    <t>膀胱病</t>
  </si>
  <si>
    <t>小腹痛及小腹脹満</t>
  </si>
  <si>
    <t>癪疝</t>
  </si>
  <si>
    <t>疝瘕</t>
    <phoneticPr fontId="6"/>
  </si>
  <si>
    <t>淋癃</t>
    <rPh sb="0" eb="1">
      <t>リン</t>
    </rPh>
    <rPh sb="1" eb="2">
      <t>リュウ</t>
    </rPh>
    <phoneticPr fontId="6"/>
  </si>
  <si>
    <t>夢遺白濁</t>
  </si>
  <si>
    <t>夜尿及遺尿</t>
  </si>
  <si>
    <t>下痢症</t>
  </si>
  <si>
    <t>痔又痔瘻</t>
  </si>
  <si>
    <t>嘔吐症及び乾嘔</t>
    <phoneticPr fontId="6"/>
  </si>
  <si>
    <t>噫気</t>
  </si>
  <si>
    <t>喜唾</t>
  </si>
  <si>
    <t>胃痛</t>
  </si>
  <si>
    <t>食気不進</t>
  </si>
  <si>
    <t>精神恍惚</t>
  </si>
  <si>
    <t>心神恐驚</t>
  </si>
  <si>
    <t>喜笑　喜怒</t>
    <phoneticPr fontId="6"/>
  </si>
  <si>
    <t>心気　健忘　無心力　失志</t>
    <rPh sb="3" eb="5">
      <t>ケンボウ</t>
    </rPh>
    <rPh sb="6" eb="8">
      <t>ムシン</t>
    </rPh>
    <rPh sb="8" eb="9">
      <t>リョク</t>
    </rPh>
    <rPh sb="10" eb="11">
      <t>シッ</t>
    </rPh>
    <rPh sb="11" eb="12">
      <t>シ</t>
    </rPh>
    <phoneticPr fontId="6"/>
  </si>
  <si>
    <t>憂悲　哭泣</t>
    <phoneticPr fontId="6"/>
  </si>
  <si>
    <t>心煩悶</t>
  </si>
  <si>
    <t>嗜臥</t>
  </si>
  <si>
    <t>不眠症</t>
  </si>
  <si>
    <t>癲狂　癲癇</t>
    <phoneticPr fontId="6"/>
  </si>
  <si>
    <t>驚癇　小児急慢驚風</t>
    <rPh sb="3" eb="5">
      <t>ショウニ</t>
    </rPh>
    <rPh sb="5" eb="6">
      <t>キュウ</t>
    </rPh>
    <rPh sb="6" eb="7">
      <t>マン</t>
    </rPh>
    <rPh sb="7" eb="9">
      <t>キョウフウ</t>
    </rPh>
    <phoneticPr fontId="6"/>
  </si>
  <si>
    <t>中風　半身不随</t>
    <rPh sb="3" eb="5">
      <t>ハンシン</t>
    </rPh>
    <rPh sb="5" eb="7">
      <t>フズイ</t>
    </rPh>
    <phoneticPr fontId="6"/>
  </si>
  <si>
    <t>痰涎　痰飲</t>
  </si>
  <si>
    <t>吐血　嘔血　唾血　咳血　喀血</t>
    <phoneticPr fontId="6"/>
  </si>
  <si>
    <t>少気　短気</t>
  </si>
  <si>
    <t>賁豚気</t>
  </si>
  <si>
    <t>腹満</t>
  </si>
  <si>
    <t>胸脇痛</t>
  </si>
  <si>
    <t>肩膊臂痛</t>
  </si>
  <si>
    <t>肘痛</t>
  </si>
  <si>
    <t>手麻痺</t>
  </si>
  <si>
    <t>手指拘攣</t>
  </si>
  <si>
    <t>足麻痺歩行不能</t>
  </si>
  <si>
    <t>足の冷え又は熱する病</t>
  </si>
  <si>
    <t>脚気症</t>
  </si>
  <si>
    <t>脚膝痛又は攣急不仁</t>
    <rPh sb="2" eb="3">
      <t>ツウ</t>
    </rPh>
    <phoneticPr fontId="6"/>
  </si>
  <si>
    <t>腰脚痛</t>
  </si>
  <si>
    <t>耳鳴　耳痛</t>
  </si>
  <si>
    <t>耳聾　耳漏</t>
  </si>
  <si>
    <t>目痛</t>
  </si>
  <si>
    <r>
      <t>目上視　目</t>
    </r>
    <r>
      <rPr>
        <sz val="11"/>
        <color theme="1"/>
        <rFont val="Microsoft YaHei"/>
        <family val="3"/>
        <charset val="134"/>
      </rPr>
      <t>瞤動</t>
    </r>
    <rPh sb="4" eb="5">
      <t>メ</t>
    </rPh>
    <rPh sb="5" eb="6">
      <t>シュン</t>
    </rPh>
    <rPh sb="6" eb="7">
      <t>ウゴ</t>
    </rPh>
    <phoneticPr fontId="6"/>
  </si>
  <si>
    <t>目眩</t>
  </si>
  <si>
    <t>目不明</t>
  </si>
  <si>
    <t>目白翳</t>
  </si>
  <si>
    <t>口眼喎</t>
    <rPh sb="2" eb="3">
      <t>カ</t>
    </rPh>
    <phoneticPr fontId="6"/>
  </si>
  <si>
    <t>牙関噤急</t>
  </si>
  <si>
    <t>鼻塞不利又不聞香臭</t>
  </si>
  <si>
    <t>鼻涕流出</t>
  </si>
  <si>
    <t>咽喉腫痛</t>
  </si>
  <si>
    <t>頚項強急</t>
  </si>
  <si>
    <t>頭痛、偏頭痛、目暈</t>
    <rPh sb="8" eb="9">
      <t>ウン</t>
    </rPh>
    <phoneticPr fontId="6"/>
  </si>
  <si>
    <t>妊娠安産の灸</t>
  </si>
  <si>
    <t>吃逆</t>
  </si>
  <si>
    <t>乳痛</t>
  </si>
  <si>
    <t>大便秘結</t>
  </si>
  <si>
    <t>水に溺れたる者の針</t>
  </si>
  <si>
    <t>難産の針</t>
  </si>
  <si>
    <t>小児吐乳</t>
  </si>
  <si>
    <t>膈噎（食道嵓＝癌）</t>
    <rPh sb="7" eb="8">
      <t>ガン</t>
    </rPh>
    <phoneticPr fontId="6"/>
  </si>
  <si>
    <t>反胃吐食（胃拡張）</t>
  </si>
  <si>
    <t>千金方脚気灸法</t>
  </si>
  <si>
    <t>外台秘要脚気灸法</t>
  </si>
  <si>
    <t>四花穴</t>
  </si>
  <si>
    <t>患門穴</t>
  </si>
  <si>
    <t>十四経暗記用の歌</t>
    <rPh sb="0" eb="2">
      <t>ジュウヨン</t>
    </rPh>
    <rPh sb="2" eb="3">
      <t>ケイ</t>
    </rPh>
    <rPh sb="3" eb="5">
      <t>アンキ</t>
    </rPh>
    <rPh sb="5" eb="6">
      <t>ヨウ</t>
    </rPh>
    <rPh sb="7" eb="8">
      <t>ウタ</t>
    </rPh>
    <phoneticPr fontId="6"/>
  </si>
  <si>
    <t>経絡図</t>
    <rPh sb="0" eb="2">
      <t>ケイラク</t>
    </rPh>
    <rPh sb="2" eb="3">
      <t>ズ</t>
    </rPh>
    <phoneticPr fontId="6"/>
  </si>
  <si>
    <t>鍼術，灸術営業取締り規則</t>
    <rPh sb="0" eb="1">
      <t>ハリ</t>
    </rPh>
    <rPh sb="1" eb="2">
      <t>ジュツ</t>
    </rPh>
    <rPh sb="3" eb="4">
      <t>キュウ</t>
    </rPh>
    <rPh sb="4" eb="5">
      <t>ジュツ</t>
    </rPh>
    <rPh sb="5" eb="7">
      <t>エイギョウ</t>
    </rPh>
    <rPh sb="7" eb="9">
      <t>トリシマ</t>
    </rPh>
    <rPh sb="10" eb="12">
      <t>キソク</t>
    </rPh>
    <phoneticPr fontId="6"/>
  </si>
  <si>
    <t>丸山昌朗『内経』病名漢洋対比表</t>
  </si>
  <si>
    <t>瘧：　マラリア、三日熱</t>
    <phoneticPr fontId="6"/>
  </si>
  <si>
    <t>『素問』</t>
  </si>
  <si>
    <t>◆四気調神大論篇第二</t>
  </si>
  <si>
    <t>1-12a4</t>
  </si>
  <si>
    <t>煎厥：　卒中</t>
    <phoneticPr fontId="6"/>
  </si>
  <si>
    <t>◆生気通天論篇第三</t>
  </si>
  <si>
    <t>1-16a8</t>
  </si>
  <si>
    <t>瘻：　カリエスなど</t>
  </si>
  <si>
    <t>1-17a6</t>
  </si>
  <si>
    <t>隔：　食道癌、食道狭窄</t>
  </si>
  <si>
    <t>1-17b7</t>
  </si>
  <si>
    <t>隠曲：　大小便</t>
    <phoneticPr fontId="6"/>
  </si>
  <si>
    <t>◆陰陽別論篇第七</t>
  </si>
  <si>
    <t>2-14a10</t>
  </si>
  <si>
    <t>不月：　無月経</t>
  </si>
  <si>
    <t>風消：　糖尿病</t>
  </si>
  <si>
    <t>2-14b3</t>
  </si>
  <si>
    <t>息賁：　肺気腫</t>
  </si>
  <si>
    <t>2-14b4</t>
  </si>
  <si>
    <t>心掣：　心悸亢進</t>
  </si>
  <si>
    <t>2-14b10</t>
  </si>
  <si>
    <t>消：　消渇、糖尿病</t>
  </si>
  <si>
    <t>2-16a2</t>
  </si>
  <si>
    <t>消癉：　軽度は食思亢進症，重度は糖尿病</t>
  </si>
  <si>
    <t>◆通評虚実論篇第二十八</t>
  </si>
  <si>
    <t>8-14b9</t>
  </si>
  <si>
    <t>癃：　前立腺肥大</t>
  </si>
  <si>
    <t>◆刺瘧篇第三十六</t>
  </si>
  <si>
    <t>10-7b6</t>
  </si>
  <si>
    <t>鼻淵：　蓄膿症</t>
  </si>
  <si>
    <t>◆気厥論篇第三十七</t>
  </si>
  <si>
    <t>10-11b1</t>
  </si>
  <si>
    <t>遺失：　大便失禁</t>
    <phoneticPr fontId="6"/>
  </si>
  <si>
    <t>◆欬論篇第三十八</t>
  </si>
  <si>
    <t>10-13a1</t>
  </si>
  <si>
    <t>白淫：　失精症</t>
  </si>
  <si>
    <t>◆痿論篇第四十四</t>
  </si>
  <si>
    <t>12-9b4</t>
  </si>
  <si>
    <t>後：　大便</t>
  </si>
  <si>
    <t>◆厥論篇第四十五</t>
  </si>
  <si>
    <t>12-13a8</t>
  </si>
  <si>
    <t>腸癰：　虫垂炎</t>
  </si>
  <si>
    <t>12-14a4</t>
  </si>
  <si>
    <t>癰気之息：　結核性リンパ腺炎</t>
  </si>
  <si>
    <t>◆病能論篇第四十六</t>
  </si>
  <si>
    <t>13-2a6</t>
  </si>
  <si>
    <t>㿗疝：　鼠蹊ヘルニア</t>
  </si>
  <si>
    <t>◆脈解篇第四十九</t>
  </si>
  <si>
    <t>13-12b7</t>
  </si>
  <si>
    <t>鼠瘻：　瘰癧</t>
  </si>
  <si>
    <t>◆骨空論篇第六十</t>
  </si>
  <si>
    <t>16-2a1</t>
  </si>
  <si>
    <t>狐疝風：　鼠蹊ヘルニア</t>
  </si>
  <si>
    <t>◆四時刺逆従論篇第六十四</t>
  </si>
  <si>
    <t>18-7b6</t>
  </si>
  <si>
    <t>肝痺：　肝硬変</t>
  </si>
  <si>
    <t>18-8a6</t>
  </si>
  <si>
    <t>瘻：　膿瘻</t>
  </si>
  <si>
    <t>『霊枢』</t>
  </si>
  <si>
    <t>◆邪気蔵府病形第四</t>
  </si>
  <si>
    <t>2-6b3</t>
  </si>
  <si>
    <t>偏風：　半身不随症</t>
  </si>
  <si>
    <t>息賁：　喘息様の症状</t>
  </si>
  <si>
    <t>2-6b6</t>
  </si>
  <si>
    <t>鼠痩：　リンパ腺炎</t>
  </si>
  <si>
    <t>肥気：　ヒルシプルムシ病</t>
  </si>
  <si>
    <t>2-6b8</t>
  </si>
  <si>
    <t>内癰：　虫垂炎なども合む</t>
  </si>
  <si>
    <t>2-6b9</t>
  </si>
  <si>
    <t>㿉疝：　鼠蹊ヘルニア</t>
  </si>
  <si>
    <t>2-7a1</t>
  </si>
  <si>
    <t>㿉癃：　脱腸、尿閉</t>
  </si>
  <si>
    <t>2-7a5</t>
  </si>
  <si>
    <t>骨癲疾：　ジャクソン氏癲癇と見られる</t>
  </si>
  <si>
    <t>2-7a7</t>
  </si>
  <si>
    <t>奔豚：　ヒステリー球も含む</t>
  </si>
  <si>
    <t>石水：　結核性腹膜炎、肝硬変症など</t>
  </si>
  <si>
    <t>2-7a9</t>
  </si>
  <si>
    <t>癃㿉：　淋毒からくる睾丸炎</t>
  </si>
  <si>
    <t>2-7b1</t>
  </si>
  <si>
    <t>骨痿：　骨軟化症の類</t>
  </si>
  <si>
    <t>不月：　無月経、月経不順症</t>
  </si>
  <si>
    <t>2-7b2</t>
  </si>
  <si>
    <t>沈痔：　内痔核</t>
  </si>
  <si>
    <t>重舌：　蝦蟆腫</t>
  </si>
  <si>
    <t>◆終始第九</t>
  </si>
  <si>
    <t>4-5b1</t>
  </si>
  <si>
    <t>瘈瘲：　強直性痙攣</t>
  </si>
  <si>
    <t>4-7a8</t>
  </si>
  <si>
    <t>目系絶：　対光反応鈍麻ないし消失</t>
  </si>
  <si>
    <t>4-7a9</t>
  </si>
  <si>
    <t>溏瘕泄：　水様の下痢</t>
  </si>
  <si>
    <t>◆経脈第十</t>
  </si>
  <si>
    <t>5-3b5</t>
  </si>
  <si>
    <t>腸澼：　赤痢様の症状</t>
  </si>
  <si>
    <t>5-5b8</t>
  </si>
  <si>
    <t>馬刀侠癭：　リンパ腺腫</t>
  </si>
  <si>
    <t>5-7b4</t>
  </si>
  <si>
    <t>卒疝：　嵌頓ヘルニア</t>
  </si>
  <si>
    <t>5-11b4</t>
  </si>
  <si>
    <t>挺長：　陰茎強直症</t>
  </si>
  <si>
    <r>
      <t>口目為</t>
    </r>
    <r>
      <rPr>
        <sz val="11"/>
        <color theme="1"/>
        <rFont val="ＭＳ Ｐゴシック"/>
        <family val="3"/>
        <charset val="134"/>
        <scheme val="minor"/>
      </rPr>
      <t>噼</t>
    </r>
    <r>
      <rPr>
        <sz val="11"/>
        <color theme="1"/>
        <rFont val="ＭＳ Ｐゴシック"/>
        <family val="2"/>
        <scheme val="minor"/>
      </rPr>
      <t>：　顔面神経麻痺</t>
    </r>
  </si>
  <si>
    <t>◆経筋第十三</t>
  </si>
  <si>
    <t>7-5b4</t>
  </si>
  <si>
    <t>蠱：　ヘルニア類似の病，房中過度病</t>
    <phoneticPr fontId="6"/>
  </si>
  <si>
    <t>◆熱病第二十三</t>
  </si>
  <si>
    <t>9-8a5</t>
  </si>
  <si>
    <t>厥頭痛：　脳動脈硬化</t>
  </si>
  <si>
    <t>◆厥病第二十四</t>
  </si>
  <si>
    <t>10-1a3</t>
  </si>
  <si>
    <t>厥心痛：　症候性心痛</t>
  </si>
  <si>
    <t>10-1b4</t>
  </si>
  <si>
    <t>真心痛：　心筋梗塞</t>
  </si>
  <si>
    <t>10-1b1O</t>
  </si>
  <si>
    <t>蛟蛕：　蛔虫</t>
  </si>
  <si>
    <t>10-2a2</t>
  </si>
  <si>
    <t>喉痺：　扁桃腺炎、咽頭炎など</t>
  </si>
  <si>
    <t>◆雑病第二十六</t>
  </si>
  <si>
    <t>10-3b3</t>
  </si>
  <si>
    <t>衆痺：　単純性関節炎</t>
  </si>
  <si>
    <t>◆周痺第二十七</t>
  </si>
  <si>
    <t>10-5a1</t>
  </si>
  <si>
    <t>腸覃：　腸間膜のリンパ腺腫、腸結核など</t>
  </si>
  <si>
    <t>◆水脹第五十七</t>
  </si>
  <si>
    <t>17-1a3</t>
  </si>
  <si>
    <t>石瘕：　子宮筋腫？ _</t>
  </si>
  <si>
    <t>洞心：　心気喪失症</t>
  </si>
  <si>
    <t>◆五味論第六十三</t>
  </si>
  <si>
    <t>18-2b10</t>
  </si>
  <si>
    <t>上膈：　食道又は噴門癌</t>
    <phoneticPr fontId="6"/>
  </si>
  <si>
    <t>◆上膈第六十八</t>
  </si>
  <si>
    <t>19-7b3</t>
  </si>
  <si>
    <t>下膈：　幽門癌</t>
  </si>
  <si>
    <t>19-7b4</t>
  </si>
  <si>
    <t>筋溜：　リウマチ、関節炎など</t>
    <phoneticPr fontId="6"/>
  </si>
  <si>
    <t>◆刺節真邪第七十五</t>
  </si>
  <si>
    <t>21-1Oa9</t>
  </si>
  <si>
    <t>猛疸：　ジフテリア？</t>
    <phoneticPr fontId="6"/>
  </si>
  <si>
    <t>◆癰疽第八十一</t>
  </si>
  <si>
    <t>24-4a4</t>
  </si>
  <si>
    <t>夭疸：　急性ルイレキ</t>
    <phoneticPr fontId="6"/>
  </si>
  <si>
    <t>24-4a6</t>
  </si>
  <si>
    <t>敗疵：　乳癌</t>
    <phoneticPr fontId="6"/>
  </si>
  <si>
    <t>24-4b7</t>
  </si>
  <si>
    <t>脱癰：　脱疽</t>
  </si>
  <si>
    <t>24-5b2</t>
  </si>
  <si>
    <t>書名</t>
  </si>
  <si>
    <t>見出し</t>
  </si>
  <si>
    <t>ページなど</t>
  </si>
  <si>
    <t>Web</t>
  </si>
  <si>
    <t>TOPに戻る</t>
  </si>
  <si>
    <t>収録リスト→</t>
  </si>
  <si>
    <t>収録リスト</t>
    <rPh sb="0" eb="2">
      <t>シュウロク</t>
    </rPh>
    <phoneticPr fontId="6"/>
  </si>
  <si>
    <t>A2</t>
    <phoneticPr fontId="6"/>
  </si>
  <si>
    <t>A183</t>
    <phoneticPr fontId="6"/>
  </si>
  <si>
    <t>A330</t>
    <phoneticPr fontId="6"/>
  </si>
  <si>
    <t>A779</t>
    <phoneticPr fontId="6"/>
  </si>
  <si>
    <t>A2679</t>
    <phoneticPr fontId="6"/>
  </si>
  <si>
    <t>A3001</t>
    <phoneticPr fontId="6"/>
  </si>
  <si>
    <t>諸病源候論</t>
  </si>
  <si>
    <t>A4747</t>
    <phoneticPr fontId="6"/>
  </si>
  <si>
    <t>A5263</t>
    <phoneticPr fontId="6"/>
  </si>
  <si>
    <t>鍼灸手引草（久木田七郎）</t>
    <phoneticPr fontId="6"/>
  </si>
  <si>
    <t>A5358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</si>
</sst>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u/>
      <sz val="11"/>
      <color theme="10"/>
      <name val="ＭＳ Ｐゴシック"/>
      <family val="2"/>
      <scheme val="minor"/>
    </font>
    <font>
      <sz val="11"/>
      <name val="ＭＳ Ｐゴシック"/>
      <family val="2"/>
      <scheme val="minor"/>
    </font>
    <font>
      <sz val="11"/>
      <color rgb="FFFF0000"/>
      <name val="ＭＳ Ｐゴシック"/>
      <family val="3"/>
      <charset val="128"/>
      <scheme val="minor"/>
    </font>
    <font>
      <sz val="6"/>
      <name val="ＭＳ Ｐゴシック"/>
      <family val="2"/>
      <charset val="128"/>
      <scheme val="minor"/>
    </font>
    <font>
      <sz val="11"/>
      <color theme="1"/>
      <name val="ＭＳ Ｐゴシック"/>
      <family val="2"/>
      <scheme val="minor"/>
    </font>
    <font>
      <sz val="11"/>
      <color rgb="FF006100"/>
      <name val="ＭＳ Ｐゴシック"/>
      <family val="2"/>
      <charset val="128"/>
      <scheme val="minor"/>
    </font>
    <font>
      <b/>
      <sz val="11"/>
      <color theme="1"/>
      <name val="ＭＳ Ｐゴシック"/>
      <family val="3"/>
      <charset val="128"/>
      <scheme val="minor"/>
    </font>
    <font>
      <b/>
      <sz val="11"/>
      <color theme="1"/>
      <name val="ＭＳ Ｐゴシック"/>
      <family val="3"/>
      <charset val="128"/>
    </font>
    <font>
      <u/>
      <sz val="11"/>
      <color theme="10"/>
      <name val="ＭＳ Ｐゴシック"/>
      <family val="3"/>
      <charset val="128"/>
    </font>
    <font>
      <sz val="11"/>
      <color theme="1"/>
      <name val="ＭＳ Ｐゴシック"/>
      <family val="3"/>
      <charset val="128"/>
    </font>
    <font>
      <sz val="12"/>
      <color rgb="FF333333"/>
      <name val="ＭＳ Ｐゴシック"/>
      <family val="3"/>
      <charset val="128"/>
    </font>
    <font>
      <sz val="11"/>
      <color theme="10"/>
      <name val="ＭＳ Ｐゴシック"/>
      <family val="3"/>
      <charset val="128"/>
    </font>
    <font>
      <sz val="11"/>
      <color theme="10"/>
      <name val="ＭＳ Ｐゴシック"/>
      <family val="2"/>
      <charset val="128"/>
      <scheme val="minor"/>
    </font>
    <font>
      <sz val="11"/>
      <color theme="1"/>
      <name val="游ゴシック"/>
      <family val="3"/>
      <charset val="136"/>
    </font>
    <font>
      <sz val="11"/>
      <color theme="1"/>
      <name val="游ゴシック"/>
      <family val="2"/>
      <charset val="128"/>
    </font>
    <font>
      <sz val="11"/>
      <color rgb="FFFF0000"/>
      <name val="ＭＳ Ｐゴシック"/>
      <family val="3"/>
      <charset val="128"/>
    </font>
    <font>
      <sz val="11"/>
      <name val="ＭＳ Ｐゴシック"/>
      <family val="3"/>
      <charset val="128"/>
    </font>
    <font>
      <sz val="11"/>
      <color rgb="FF006100"/>
      <name val="ＭＳ Ｐゴシック"/>
      <family val="3"/>
      <charset val="128"/>
    </font>
    <font>
      <sz val="11"/>
      <color theme="1"/>
      <name val="游ゴシック"/>
      <family val="3"/>
      <charset val="134"/>
    </font>
    <font>
      <sz val="11"/>
      <color theme="1"/>
      <name val="游ゴシック"/>
      <family val="3"/>
      <charset val="129"/>
    </font>
    <font>
      <sz val="11"/>
      <color theme="1"/>
      <name val="ＪＳ平成明朝体W3"/>
      <family val="3"/>
      <charset val="134"/>
    </font>
    <font>
      <sz val="11"/>
      <color theme="1"/>
      <name val="Microsoft YaHei"/>
      <family val="3"/>
      <charset val="134"/>
    </font>
    <font>
      <sz val="11"/>
      <color theme="1"/>
      <name val="ＭＳ Ｐゴシック"/>
      <family val="3"/>
      <charset val="134"/>
      <scheme val="minor"/>
    </font>
    <font>
      <b/>
      <sz val="11"/>
      <name val="ＭＳ Ｐゴシック"/>
      <family val="3"/>
      <charset val="128"/>
    </font>
    <font>
      <sz val="11"/>
      <color theme="0"/>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C6EFCE"/>
      </patternFill>
    </fill>
    <fill>
      <patternFill patternType="solid">
        <fgColor rgb="FFFFFFCC"/>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3" tint="0.89999084444715716"/>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0" fontId="8" fillId="7" borderId="0" applyNumberFormat="0" applyBorder="0" applyAlignment="0" applyProtection="0">
      <alignment vertical="center"/>
    </xf>
    <xf numFmtId="0" fontId="7" fillId="8" borderId="2" applyNumberFormat="0" applyFont="0" applyAlignment="0" applyProtection="0">
      <alignment vertical="center"/>
    </xf>
  </cellStyleXfs>
  <cellXfs count="56">
    <xf numFmtId="0" fontId="0" fillId="0" borderId="0" xfId="0"/>
    <xf numFmtId="0" fontId="0" fillId="2" borderId="0" xfId="0" applyFill="1"/>
    <xf numFmtId="0" fontId="4" fillId="0" borderId="0" xfId="1" applyFont="1"/>
    <xf numFmtId="0" fontId="0" fillId="3" borderId="0" xfId="0" applyFill="1"/>
    <xf numFmtId="0" fontId="0" fillId="4" borderId="0" xfId="0" applyFill="1"/>
    <xf numFmtId="0" fontId="5" fillId="0" borderId="0" xfId="0" applyFont="1"/>
    <xf numFmtId="0" fontId="0" fillId="0" borderId="0" xfId="0" applyAlignment="1">
      <alignment vertical="center"/>
    </xf>
    <xf numFmtId="0" fontId="0" fillId="2" borderId="0" xfId="0" applyFill="1" applyAlignment="1">
      <alignment vertical="center"/>
    </xf>
    <xf numFmtId="0" fontId="0" fillId="5" borderId="0" xfId="0" applyFill="1" applyAlignment="1">
      <alignment vertical="center"/>
    </xf>
    <xf numFmtId="0" fontId="0" fillId="5" borderId="0" xfId="0" applyFill="1"/>
    <xf numFmtId="0" fontId="0" fillId="6" borderId="0" xfId="0" applyFill="1" applyAlignment="1">
      <alignment vertical="center"/>
    </xf>
    <xf numFmtId="0" fontId="0" fillId="6" borderId="0" xfId="0" applyFill="1"/>
    <xf numFmtId="0" fontId="0" fillId="3" borderId="0" xfId="0" applyFill="1" applyAlignment="1">
      <alignment vertical="center"/>
    </xf>
    <xf numFmtId="0" fontId="2" fillId="3" borderId="0" xfId="0" applyFont="1" applyFill="1"/>
    <xf numFmtId="0" fontId="0" fillId="0" borderId="1" xfId="0" applyBorder="1" applyAlignment="1">
      <alignment vertical="center"/>
    </xf>
    <xf numFmtId="0" fontId="3" fillId="0" borderId="0" xfId="1" applyAlignment="1">
      <alignment vertical="center"/>
    </xf>
    <xf numFmtId="0" fontId="9" fillId="0" borderId="0" xfId="0" applyFont="1" applyAlignment="1">
      <alignment vertical="center"/>
    </xf>
    <xf numFmtId="0" fontId="10" fillId="6" borderId="1" xfId="0" applyFont="1" applyFill="1" applyBorder="1" applyAlignment="1">
      <alignment vertical="center"/>
    </xf>
    <xf numFmtId="0" fontId="11" fillId="0" borderId="1" xfId="1" applyFont="1" applyBorder="1" applyAlignment="1">
      <alignment vertical="center"/>
    </xf>
    <xf numFmtId="0" fontId="12" fillId="0" borderId="1" xfId="0" applyFont="1" applyBorder="1" applyAlignment="1">
      <alignment vertical="center"/>
    </xf>
    <xf numFmtId="0" fontId="12" fillId="2" borderId="1" xfId="0" applyFont="1" applyFill="1" applyBorder="1" applyAlignment="1">
      <alignment vertical="center"/>
    </xf>
    <xf numFmtId="0" fontId="12" fillId="6" borderId="1"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wrapText="1"/>
    </xf>
    <xf numFmtId="0" fontId="12" fillId="3" borderId="1" xfId="0" applyFont="1" applyFill="1" applyBorder="1" applyAlignment="1">
      <alignment vertical="center"/>
    </xf>
    <xf numFmtId="0" fontId="12" fillId="4" borderId="1" xfId="0" applyFont="1" applyFill="1" applyBorder="1" applyAlignment="1">
      <alignment vertical="center"/>
    </xf>
    <xf numFmtId="0" fontId="14" fillId="0" borderId="1" xfId="1" applyFont="1" applyBorder="1" applyAlignment="1">
      <alignment vertical="center"/>
    </xf>
    <xf numFmtId="0" fontId="15" fillId="0" borderId="1" xfId="1" applyFont="1" applyBorder="1" applyAlignment="1">
      <alignment vertical="center"/>
    </xf>
    <xf numFmtId="0" fontId="12" fillId="9" borderId="3" xfId="0" applyFont="1" applyFill="1" applyBorder="1" applyAlignment="1">
      <alignment vertical="center"/>
    </xf>
    <xf numFmtId="0" fontId="18" fillId="0" borderId="1" xfId="0" applyFont="1" applyBorder="1" applyAlignment="1">
      <alignment vertical="center"/>
    </xf>
    <xf numFmtId="0" fontId="11" fillId="7" borderId="1" xfId="1" applyFont="1" applyFill="1" applyBorder="1" applyAlignment="1">
      <alignment vertical="center"/>
    </xf>
    <xf numFmtId="0" fontId="19" fillId="0" borderId="1" xfId="0" applyFont="1" applyBorder="1" applyAlignment="1">
      <alignment vertical="center"/>
    </xf>
    <xf numFmtId="0" fontId="20" fillId="7" borderId="1" xfId="2" applyFont="1" applyBorder="1" applyAlignment="1">
      <alignment vertical="center"/>
    </xf>
    <xf numFmtId="0" fontId="12" fillId="8" borderId="1" xfId="3" applyFont="1" applyBorder="1" applyAlignment="1">
      <alignment horizontal="center" vertical="center"/>
    </xf>
    <xf numFmtId="0" fontId="12" fillId="8" borderId="1" xfId="3" applyFont="1" applyBorder="1" applyAlignment="1">
      <alignment vertical="center"/>
    </xf>
    <xf numFmtId="0" fontId="12" fillId="0" borderId="1" xfId="0" quotePrefix="1" applyFont="1" applyBorder="1" applyAlignment="1">
      <alignment vertical="center"/>
    </xf>
    <xf numFmtId="0" fontId="11" fillId="0" borderId="0" xfId="1" applyFont="1" applyAlignment="1">
      <alignment vertical="center"/>
    </xf>
    <xf numFmtId="0" fontId="19" fillId="8" borderId="1" xfId="3" applyFont="1" applyBorder="1" applyAlignment="1">
      <alignment vertical="center"/>
    </xf>
    <xf numFmtId="0" fontId="12" fillId="3" borderId="1" xfId="0" applyFont="1" applyFill="1" applyBorder="1" applyAlignment="1">
      <alignment vertical="center" wrapText="1"/>
    </xf>
    <xf numFmtId="0" fontId="12" fillId="10" borderId="1" xfId="0" applyFont="1" applyFill="1" applyBorder="1" applyAlignment="1">
      <alignment vertical="center"/>
    </xf>
    <xf numFmtId="0" fontId="19" fillId="3" borderId="1" xfId="1" applyFont="1" applyFill="1" applyBorder="1" applyAlignment="1">
      <alignment vertical="center"/>
    </xf>
    <xf numFmtId="0" fontId="18" fillId="0" borderId="1" xfId="0" applyFont="1" applyBorder="1" applyAlignment="1">
      <alignment vertical="center" wrapText="1"/>
    </xf>
    <xf numFmtId="0" fontId="18" fillId="3" borderId="1" xfId="1" applyFont="1" applyFill="1" applyBorder="1" applyAlignment="1">
      <alignment vertical="center"/>
    </xf>
    <xf numFmtId="0" fontId="12" fillId="2" borderId="1" xfId="0" applyFont="1" applyFill="1" applyBorder="1" applyAlignment="1">
      <alignment vertical="center" wrapText="1"/>
    </xf>
    <xf numFmtId="0" fontId="12" fillId="11" borderId="1" xfId="0" applyFont="1" applyFill="1" applyBorder="1" applyAlignment="1">
      <alignment vertical="center"/>
    </xf>
    <xf numFmtId="0" fontId="3" fillId="0" borderId="1" xfId="1" applyBorder="1" applyAlignment="1">
      <alignment vertical="center"/>
    </xf>
    <xf numFmtId="0" fontId="12" fillId="2" borderId="0" xfId="0" applyFont="1" applyFill="1" applyAlignment="1">
      <alignment vertical="center"/>
    </xf>
    <xf numFmtId="0" fontId="0" fillId="2" borderId="1" xfId="0" applyFill="1" applyBorder="1" applyAlignment="1">
      <alignment vertical="center"/>
    </xf>
    <xf numFmtId="0" fontId="0" fillId="12" borderId="1" xfId="0" applyFill="1" applyBorder="1" applyAlignment="1">
      <alignment vertical="center"/>
    </xf>
    <xf numFmtId="0" fontId="26" fillId="4" borderId="1" xfId="0" applyFont="1" applyFill="1" applyBorder="1" applyAlignment="1">
      <alignment vertical="center"/>
    </xf>
    <xf numFmtId="0" fontId="27" fillId="4" borderId="1" xfId="0" applyFont="1" applyFill="1" applyBorder="1" applyAlignment="1">
      <alignment vertical="center"/>
    </xf>
    <xf numFmtId="0" fontId="3" fillId="4" borderId="1" xfId="1" applyFill="1" applyBorder="1" applyAlignment="1">
      <alignment vertical="center"/>
    </xf>
    <xf numFmtId="0" fontId="3" fillId="3" borderId="0" xfId="1" applyFill="1"/>
    <xf numFmtId="0" fontId="3" fillId="2" borderId="0" xfId="1" applyFill="1"/>
  </cellXfs>
  <cellStyles count="4">
    <cellStyle name="ハイパーリンク" xfId="1" builtinId="8"/>
    <cellStyle name="メモ" xfId="3" builtinId="10"/>
    <cellStyle name="標準" xfId="0" builtinId="0"/>
    <cellStyle name="良い" xfId="2"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mda.kulib.kyoto-u.ac.jp/item/rb000052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5421"/>
  <sheetViews>
    <sheetView zoomScale="190" zoomScaleNormal="190" workbookViewId="0">
      <pane ySplit="1" topLeftCell="A2" activePane="bottomLeft" state="frozen"/>
      <selection pane="bottomLeft" activeCell="A2" sqref="A2"/>
    </sheetView>
  </sheetViews>
  <sheetFormatPr defaultRowHeight="13.5" x14ac:dyDescent="0.15"/>
  <cols>
    <col min="1" max="1" width="11.5" customWidth="1"/>
    <col min="2" max="2" width="19.5" customWidth="1"/>
    <col min="4" max="4" width="45.25" customWidth="1"/>
    <col min="5" max="5" width="10.875" customWidth="1"/>
    <col min="10" max="10" width="20.375" customWidth="1"/>
  </cols>
  <sheetData>
    <row r="1" spans="1:10" x14ac:dyDescent="0.15">
      <c r="A1" s="1" t="s">
        <v>13432</v>
      </c>
      <c r="B1" s="1" t="s">
        <v>13433</v>
      </c>
      <c r="C1" s="1" t="s">
        <v>13434</v>
      </c>
      <c r="D1" s="1" t="s">
        <v>13435</v>
      </c>
      <c r="E1" s="54" t="s">
        <v>13436</v>
      </c>
      <c r="F1" s="55" t="s">
        <v>13437</v>
      </c>
      <c r="I1" s="19"/>
      <c r="J1" s="51" t="s">
        <v>13438</v>
      </c>
    </row>
    <row r="2" spans="1:10" x14ac:dyDescent="0.15">
      <c r="A2" s="16" t="s">
        <v>8511</v>
      </c>
      <c r="B2" s="17" t="s">
        <v>8512</v>
      </c>
      <c r="C2" s="17"/>
      <c r="D2" s="18" t="s">
        <v>8513</v>
      </c>
      <c r="E2" s="17" t="s">
        <v>8514</v>
      </c>
      <c r="F2" s="17"/>
      <c r="G2" s="17"/>
      <c r="I2" s="52" t="s">
        <v>13439</v>
      </c>
      <c r="J2" s="53" t="s">
        <v>8515</v>
      </c>
    </row>
    <row r="3" spans="1:10" x14ac:dyDescent="0.15">
      <c r="A3" s="19" t="s">
        <v>8515</v>
      </c>
      <c r="B3" s="20" t="s">
        <v>8516</v>
      </c>
      <c r="C3" s="19">
        <v>5</v>
      </c>
      <c r="D3" s="18" t="str">
        <f>HYPERLINK("https://rmda.kulib.kyoto-u.ac.jp/item/rb00005276?page=5")</f>
        <v>https://rmda.kulib.kyoto-u.ac.jp/item/rb00005276?page=5</v>
      </c>
      <c r="E3" s="19">
        <v>0</v>
      </c>
      <c r="F3" s="19"/>
      <c r="G3" s="19"/>
      <c r="I3" s="52" t="s">
        <v>13440</v>
      </c>
      <c r="J3" s="53" t="s">
        <v>8634</v>
      </c>
    </row>
    <row r="4" spans="1:10" x14ac:dyDescent="0.15">
      <c r="A4" s="19" t="s">
        <v>8515</v>
      </c>
      <c r="B4" s="19" t="s">
        <v>8517</v>
      </c>
      <c r="C4" s="19">
        <v>5</v>
      </c>
      <c r="D4" s="19" t="str">
        <f>HYPERLINK("https://rmda.kulib.kyoto-u.ac.jp/item/rb00005276?page=5")</f>
        <v>https://rmda.kulib.kyoto-u.ac.jp/item/rb00005276?page=5</v>
      </c>
      <c r="E4" s="19">
        <v>0</v>
      </c>
      <c r="F4" s="19"/>
      <c r="G4" s="19"/>
      <c r="I4" s="52" t="s">
        <v>13441</v>
      </c>
      <c r="J4" s="53" t="s">
        <v>8648</v>
      </c>
    </row>
    <row r="5" spans="1:10" x14ac:dyDescent="0.15">
      <c r="A5" s="19" t="s">
        <v>8515</v>
      </c>
      <c r="B5" s="19" t="s">
        <v>8517</v>
      </c>
      <c r="C5" s="19">
        <v>8</v>
      </c>
      <c r="D5" s="19" t="str">
        <f>HYPERLINK("https://rmda.kulib.kyoto-u.ac.jp/item/rb00005276?page=8")</f>
        <v>https://rmda.kulib.kyoto-u.ac.jp/item/rb00005276?page=8</v>
      </c>
      <c r="E5" s="19">
        <v>0</v>
      </c>
      <c r="F5" s="19"/>
      <c r="G5" s="19"/>
      <c r="I5" s="52" t="s">
        <v>13442</v>
      </c>
      <c r="J5" s="53" t="s">
        <v>6767</v>
      </c>
    </row>
    <row r="6" spans="1:10" x14ac:dyDescent="0.15">
      <c r="A6" s="19" t="s">
        <v>8515</v>
      </c>
      <c r="B6" s="19" t="s">
        <v>8517</v>
      </c>
      <c r="C6" s="19">
        <v>13</v>
      </c>
      <c r="D6" s="19" t="str">
        <f>HYPERLINK("https://rmda.kulib.kyoto-u.ac.jp/item/rb00005276?page=13")</f>
        <v>https://rmda.kulib.kyoto-u.ac.jp/item/rb00005276?page=13</v>
      </c>
      <c r="E6" s="19">
        <v>0</v>
      </c>
      <c r="F6" s="19"/>
      <c r="G6" s="19"/>
      <c r="I6" s="52" t="s">
        <v>13443</v>
      </c>
      <c r="J6" s="53" t="s">
        <v>8993</v>
      </c>
    </row>
    <row r="7" spans="1:10" x14ac:dyDescent="0.15">
      <c r="A7" s="19" t="s">
        <v>8515</v>
      </c>
      <c r="B7" s="19" t="s">
        <v>6768</v>
      </c>
      <c r="C7" s="19">
        <v>17</v>
      </c>
      <c r="D7" s="19" t="str">
        <f>HYPERLINK("https://rmda.kulib.kyoto-u.ac.jp/item/rb00005276?page=17")</f>
        <v>https://rmda.kulib.kyoto-u.ac.jp/item/rb00005276?page=17</v>
      </c>
      <c r="E7" s="19">
        <v>0</v>
      </c>
      <c r="F7" s="19"/>
      <c r="G7" s="19"/>
      <c r="I7" s="52" t="s">
        <v>13444</v>
      </c>
      <c r="J7" s="53" t="s">
        <v>13445</v>
      </c>
    </row>
    <row r="8" spans="1:10" x14ac:dyDescent="0.15">
      <c r="A8" s="19" t="s">
        <v>8515</v>
      </c>
      <c r="B8" s="19" t="s">
        <v>8518</v>
      </c>
      <c r="C8" s="19">
        <v>20</v>
      </c>
      <c r="D8" s="19" t="str">
        <f>HYPERLINK("https://rmda.kulib.kyoto-u.ac.jp/item/rb00005276?page=20")</f>
        <v>https://rmda.kulib.kyoto-u.ac.jp/item/rb00005276?page=20</v>
      </c>
      <c r="E8" s="19">
        <v>0</v>
      </c>
      <c r="F8" s="19"/>
      <c r="G8" s="19"/>
      <c r="I8" s="6" t="s">
        <v>13446</v>
      </c>
      <c r="J8" s="15" t="s">
        <v>12688</v>
      </c>
    </row>
    <row r="9" spans="1:10" x14ac:dyDescent="0.15">
      <c r="A9" s="19" t="s">
        <v>8515</v>
      </c>
      <c r="B9" s="19" t="s">
        <v>8519</v>
      </c>
      <c r="C9" s="19">
        <v>24</v>
      </c>
      <c r="D9" s="19" t="str">
        <f>HYPERLINK("https://rmda.kulib.kyoto-u.ac.jp/item/rb00005276?page=24")</f>
        <v>https://rmda.kulib.kyoto-u.ac.jp/item/rb00005276?page=24</v>
      </c>
      <c r="E9" s="19">
        <v>0</v>
      </c>
      <c r="F9" s="19"/>
      <c r="G9" s="19"/>
      <c r="I9" s="22" t="s">
        <v>13447</v>
      </c>
      <c r="J9" s="15" t="s">
        <v>13448</v>
      </c>
    </row>
    <row r="10" spans="1:10" x14ac:dyDescent="0.15">
      <c r="A10" s="19" t="s">
        <v>8515</v>
      </c>
      <c r="B10" s="19" t="s">
        <v>8520</v>
      </c>
      <c r="C10" s="19">
        <v>25</v>
      </c>
      <c r="D10" s="19" t="str">
        <f>HYPERLINK("https://rmda.kulib.kyoto-u.ac.jp/item/rb00005276?page=25")</f>
        <v>https://rmda.kulib.kyoto-u.ac.jp/item/rb00005276?page=25</v>
      </c>
      <c r="E10" s="19">
        <v>0</v>
      </c>
      <c r="F10" s="19"/>
      <c r="G10" s="19"/>
      <c r="I10" s="22" t="s">
        <v>13449</v>
      </c>
      <c r="J10" s="15" t="s">
        <v>13285</v>
      </c>
    </row>
    <row r="11" spans="1:10" x14ac:dyDescent="0.15">
      <c r="A11" s="19" t="s">
        <v>8515</v>
      </c>
      <c r="B11" s="19" t="s">
        <v>8521</v>
      </c>
      <c r="C11" s="19">
        <v>43</v>
      </c>
      <c r="D11" s="19" t="str">
        <f>HYPERLINK("https://rmda.kulib.kyoto-u.ac.jp/item/rb00005276?page=43")</f>
        <v>https://rmda.kulib.kyoto-u.ac.jp/item/rb00005276?page=43</v>
      </c>
      <c r="E11" s="19">
        <v>0</v>
      </c>
      <c r="F11" s="19"/>
      <c r="G11" s="19"/>
    </row>
    <row r="12" spans="1:10" x14ac:dyDescent="0.15">
      <c r="A12" s="19" t="s">
        <v>8515</v>
      </c>
      <c r="B12" s="19" t="s">
        <v>8522</v>
      </c>
      <c r="C12" s="19">
        <v>55</v>
      </c>
      <c r="D12" s="19" t="str">
        <f>HYPERLINK("https://rmda.kulib.kyoto-u.ac.jp/item/rb00005276?page=55")</f>
        <v>https://rmda.kulib.kyoto-u.ac.jp/item/rb00005276?page=55</v>
      </c>
      <c r="E12" s="19">
        <v>0</v>
      </c>
      <c r="F12" s="19"/>
      <c r="G12" s="19"/>
    </row>
    <row r="13" spans="1:10" x14ac:dyDescent="0.15">
      <c r="A13" s="19" t="s">
        <v>8515</v>
      </c>
      <c r="B13" s="19" t="s">
        <v>8523</v>
      </c>
      <c r="C13" s="19">
        <v>62</v>
      </c>
      <c r="D13" s="19" t="str">
        <f>HYPERLINK("https://rmda.kulib.kyoto-u.ac.jp/item/rb00005276?page=62")</f>
        <v>https://rmda.kulib.kyoto-u.ac.jp/item/rb00005276?page=62</v>
      </c>
      <c r="E13" s="19">
        <v>0</v>
      </c>
      <c r="F13" s="19"/>
      <c r="G13" s="19"/>
    </row>
    <row r="14" spans="1:10" x14ac:dyDescent="0.15">
      <c r="A14" s="19" t="s">
        <v>8515</v>
      </c>
      <c r="B14" s="19" t="s">
        <v>8524</v>
      </c>
      <c r="C14" s="19">
        <v>66</v>
      </c>
      <c r="D14" s="19" t="str">
        <f>HYPERLINK("https://rmda.kulib.kyoto-u.ac.jp/item/rb00005276?page=66")</f>
        <v>https://rmda.kulib.kyoto-u.ac.jp/item/rb00005276?page=66</v>
      </c>
      <c r="E14" s="19">
        <v>0</v>
      </c>
      <c r="F14" s="19"/>
      <c r="G14" s="19"/>
    </row>
    <row r="15" spans="1:10" x14ac:dyDescent="0.15">
      <c r="A15" s="19" t="s">
        <v>8515</v>
      </c>
      <c r="B15" s="19" t="s">
        <v>8525</v>
      </c>
      <c r="C15" s="19">
        <v>67</v>
      </c>
      <c r="D15" s="19" t="str">
        <f>HYPERLINK("https://rmda.kulib.kyoto-u.ac.jp/item/rb00005276?page=67")</f>
        <v>https://rmda.kulib.kyoto-u.ac.jp/item/rb00005276?page=67</v>
      </c>
      <c r="E15" s="19">
        <v>0</v>
      </c>
      <c r="F15" s="19"/>
      <c r="G15" s="19"/>
    </row>
    <row r="16" spans="1:10" x14ac:dyDescent="0.15">
      <c r="A16" s="19" t="s">
        <v>8515</v>
      </c>
      <c r="B16" s="20" t="s">
        <v>8526</v>
      </c>
      <c r="C16" s="19">
        <v>69</v>
      </c>
      <c r="D16" s="19" t="str">
        <f>HYPERLINK("https://rmda.kulib.kyoto-u.ac.jp/item/rb00005276?page=69")</f>
        <v>https://rmda.kulib.kyoto-u.ac.jp/item/rb00005276?page=69</v>
      </c>
      <c r="E16" s="19">
        <v>0</v>
      </c>
      <c r="F16" s="19"/>
      <c r="G16" s="19"/>
    </row>
    <row r="17" spans="1:7" x14ac:dyDescent="0.15">
      <c r="A17" s="19" t="s">
        <v>8515</v>
      </c>
      <c r="B17" s="19" t="s">
        <v>8527</v>
      </c>
      <c r="C17" s="19">
        <v>83</v>
      </c>
      <c r="D17" s="19" t="str">
        <f>HYPERLINK("https://rmda.kulib.kyoto-u.ac.jp/item/rb00005276?page=83")</f>
        <v>https://rmda.kulib.kyoto-u.ac.jp/item/rb00005276?page=83</v>
      </c>
      <c r="E17" s="19">
        <v>0</v>
      </c>
      <c r="F17" s="19"/>
      <c r="G17" s="19"/>
    </row>
    <row r="18" spans="1:7" x14ac:dyDescent="0.15">
      <c r="A18" s="19" t="s">
        <v>8515</v>
      </c>
      <c r="B18" s="19" t="s">
        <v>8528</v>
      </c>
      <c r="C18" s="19">
        <v>85</v>
      </c>
      <c r="D18" s="19" t="str">
        <f>HYPERLINK("https://rmda.kulib.kyoto-u.ac.jp/item/rb00005276?page=85")</f>
        <v>https://rmda.kulib.kyoto-u.ac.jp/item/rb00005276?page=85</v>
      </c>
      <c r="E18" s="19">
        <v>0</v>
      </c>
      <c r="F18" s="19"/>
      <c r="G18" s="19"/>
    </row>
    <row r="19" spans="1:7" x14ac:dyDescent="0.15">
      <c r="A19" s="19" t="s">
        <v>8515</v>
      </c>
      <c r="B19" s="20" t="s">
        <v>8529</v>
      </c>
      <c r="C19" s="19">
        <v>91</v>
      </c>
      <c r="D19" s="19" t="str">
        <f>HYPERLINK("https://rmda.kulib.kyoto-u.ac.jp/item/rb00005276?page=91")</f>
        <v>https://rmda.kulib.kyoto-u.ac.jp/item/rb00005276?page=91</v>
      </c>
      <c r="E19" s="19">
        <v>0</v>
      </c>
      <c r="F19" s="19"/>
      <c r="G19" s="19"/>
    </row>
    <row r="20" spans="1:7" x14ac:dyDescent="0.15">
      <c r="A20" s="19" t="s">
        <v>8515</v>
      </c>
      <c r="B20" s="19" t="s">
        <v>7114</v>
      </c>
      <c r="C20" s="19">
        <v>91</v>
      </c>
      <c r="D20" s="19" t="str">
        <f>HYPERLINK("https://rmda.kulib.kyoto-u.ac.jp/item/rb00005276?page=91")</f>
        <v>https://rmda.kulib.kyoto-u.ac.jp/item/rb00005276?page=91</v>
      </c>
      <c r="E20" s="19">
        <v>16</v>
      </c>
      <c r="F20" s="18" t="str">
        <f>HYPERLINK("https://rmda.kulib.kyoto-u.ac.jp/item/rb00000349?page=16")</f>
        <v>https://rmda.kulib.kyoto-u.ac.jp/item/rb00000349?page=16</v>
      </c>
      <c r="G20" s="19"/>
    </row>
    <row r="21" spans="1:7" x14ac:dyDescent="0.15">
      <c r="A21" s="19" t="s">
        <v>8515</v>
      </c>
      <c r="B21" s="19" t="s">
        <v>8530</v>
      </c>
      <c r="C21" s="19">
        <v>92</v>
      </c>
      <c r="D21" s="19" t="str">
        <f>HYPERLINK("https://rmda.kulib.kyoto-u.ac.jp/item/rb00005276?page=92")</f>
        <v>https://rmda.kulib.kyoto-u.ac.jp/item/rb00005276?page=92</v>
      </c>
      <c r="E21" s="19"/>
      <c r="F21" s="19" t="s">
        <v>8531</v>
      </c>
      <c r="G21" s="19"/>
    </row>
    <row r="22" spans="1:7" x14ac:dyDescent="0.15">
      <c r="A22" s="19" t="s">
        <v>8515</v>
      </c>
      <c r="B22" s="19" t="s">
        <v>8532</v>
      </c>
      <c r="C22" s="19">
        <v>108</v>
      </c>
      <c r="D22" s="19" t="str">
        <f>HYPERLINK("https://rmda.kulib.kyoto-u.ac.jp/item/rb00005276?page=108")</f>
        <v>https://rmda.kulib.kyoto-u.ac.jp/item/rb00005276?page=108</v>
      </c>
      <c r="E22" s="19">
        <v>22</v>
      </c>
      <c r="F22" s="19" t="str">
        <f>HYPERLINK("https://rmda.kulib.kyoto-u.ac.jp/item/rb00000349?page=22")</f>
        <v>https://rmda.kulib.kyoto-u.ac.jp/item/rb00000349?page=22</v>
      </c>
      <c r="G22" s="19"/>
    </row>
    <row r="23" spans="1:7" x14ac:dyDescent="0.15">
      <c r="A23" s="19" t="s">
        <v>8515</v>
      </c>
      <c r="B23" s="19" t="s">
        <v>8533</v>
      </c>
      <c r="C23" s="19">
        <v>112</v>
      </c>
      <c r="D23" s="19" t="str">
        <f>HYPERLINK("https://rmda.kulib.kyoto-u.ac.jp/item/rb00005276?page=112")</f>
        <v>https://rmda.kulib.kyoto-u.ac.jp/item/rb00005276?page=112</v>
      </c>
      <c r="E23" s="19"/>
      <c r="F23" s="19" t="s">
        <v>8531</v>
      </c>
      <c r="G23" s="19"/>
    </row>
    <row r="24" spans="1:7" x14ac:dyDescent="0.15">
      <c r="A24" s="19" t="s">
        <v>8515</v>
      </c>
      <c r="B24" s="19" t="s">
        <v>6016</v>
      </c>
      <c r="C24" s="19">
        <v>115</v>
      </c>
      <c r="D24" s="19" t="str">
        <f>HYPERLINK("https://rmda.kulib.kyoto-u.ac.jp/item/rb00005276?page=115")</f>
        <v>https://rmda.kulib.kyoto-u.ac.jp/item/rb00005276?page=115</v>
      </c>
      <c r="E24" s="19">
        <v>23</v>
      </c>
      <c r="F24" s="19" t="str">
        <f>HYPERLINK("https://rmda.kulib.kyoto-u.ac.jp/item/rb00000349?page=23")</f>
        <v>https://rmda.kulib.kyoto-u.ac.jp/item/rb00000349?page=23</v>
      </c>
      <c r="G24" s="19"/>
    </row>
    <row r="25" spans="1:7" x14ac:dyDescent="0.15">
      <c r="A25" s="19" t="s">
        <v>8515</v>
      </c>
      <c r="B25" s="19" t="s">
        <v>7118</v>
      </c>
      <c r="C25" s="19">
        <v>135</v>
      </c>
      <c r="D25" s="19" t="str">
        <f>HYPERLINK("https://rmda.kulib.kyoto-u.ac.jp/item/rb00005276?page=135")</f>
        <v>https://rmda.kulib.kyoto-u.ac.jp/item/rb00005276?page=135</v>
      </c>
      <c r="E25" s="19">
        <v>31</v>
      </c>
      <c r="F25" s="19" t="str">
        <f>HYPERLINK("https://rmda.kulib.kyoto-u.ac.jp/item/rb00000349?page=31")</f>
        <v>https://rmda.kulib.kyoto-u.ac.jp/item/rb00000349?page=31</v>
      </c>
      <c r="G25" s="19"/>
    </row>
    <row r="26" spans="1:7" x14ac:dyDescent="0.15">
      <c r="A26" s="19" t="s">
        <v>8515</v>
      </c>
      <c r="B26" s="19" t="s">
        <v>5638</v>
      </c>
      <c r="C26" s="19">
        <v>138</v>
      </c>
      <c r="D26" s="19" t="str">
        <f>HYPERLINK("https://rmda.kulib.kyoto-u.ac.jp/item/rb00005276?page=138")</f>
        <v>https://rmda.kulib.kyoto-u.ac.jp/item/rb00005276?page=138</v>
      </c>
      <c r="E26" s="19">
        <v>32</v>
      </c>
      <c r="F26" s="19" t="str">
        <f>HYPERLINK("https://rmda.kulib.kyoto-u.ac.jp/item/rb00000349?page=32")</f>
        <v>https://rmda.kulib.kyoto-u.ac.jp/item/rb00000349?page=32</v>
      </c>
      <c r="G26" s="19"/>
    </row>
    <row r="27" spans="1:7" x14ac:dyDescent="0.15">
      <c r="A27" s="19" t="s">
        <v>8515</v>
      </c>
      <c r="B27" s="19" t="s">
        <v>8534</v>
      </c>
      <c r="C27" s="19">
        <v>142</v>
      </c>
      <c r="D27" s="19" t="str">
        <f>HYPERLINK("https://rmda.kulib.kyoto-u.ac.jp/item/rb00005276?page=142")</f>
        <v>https://rmda.kulib.kyoto-u.ac.jp/item/rb00005276?page=142</v>
      </c>
      <c r="E27" s="19">
        <v>32</v>
      </c>
      <c r="F27" s="19" t="str">
        <f>HYPERLINK("https://rmda.kulib.kyoto-u.ac.jp/item/rb00000349?page=32")</f>
        <v>https://rmda.kulib.kyoto-u.ac.jp/item/rb00000349?page=32</v>
      </c>
      <c r="G27" s="19"/>
    </row>
    <row r="28" spans="1:7" x14ac:dyDescent="0.15">
      <c r="A28" s="19" t="s">
        <v>8515</v>
      </c>
      <c r="B28" s="19" t="s">
        <v>7124</v>
      </c>
      <c r="C28" s="19">
        <v>147</v>
      </c>
      <c r="D28" s="19" t="str">
        <f>HYPERLINK("https://rmda.kulib.kyoto-u.ac.jp/item/rb00005276?page=147")</f>
        <v>https://rmda.kulib.kyoto-u.ac.jp/item/rb00005276?page=147</v>
      </c>
      <c r="E28" s="19">
        <v>33</v>
      </c>
      <c r="F28" s="19" t="str">
        <f>HYPERLINK("https://rmda.kulib.kyoto-u.ac.jp/item/rb00000349?page=33")</f>
        <v>https://rmda.kulib.kyoto-u.ac.jp/item/rb00000349?page=33</v>
      </c>
      <c r="G28" s="19"/>
    </row>
    <row r="29" spans="1:7" x14ac:dyDescent="0.15">
      <c r="A29" s="19" t="s">
        <v>8515</v>
      </c>
      <c r="B29" s="19" t="s">
        <v>8535</v>
      </c>
      <c r="C29" s="19">
        <v>149</v>
      </c>
      <c r="D29" s="19" t="str">
        <f>HYPERLINK("https://rmda.kulib.kyoto-u.ac.jp/item/rb00005276?page=149")</f>
        <v>https://rmda.kulib.kyoto-u.ac.jp/item/rb00005276?page=149</v>
      </c>
      <c r="E29" s="19">
        <v>36</v>
      </c>
      <c r="F29" s="19" t="str">
        <f>HYPERLINK("https://rmda.kulib.kyoto-u.ac.jp/item/rb00000349?page=36")</f>
        <v>https://rmda.kulib.kyoto-u.ac.jp/item/rb00000349?page=36</v>
      </c>
      <c r="G29" s="19"/>
    </row>
    <row r="30" spans="1:7" x14ac:dyDescent="0.15">
      <c r="A30" s="19" t="s">
        <v>8515</v>
      </c>
      <c r="B30" s="19" t="s">
        <v>7474</v>
      </c>
      <c r="C30" s="19">
        <v>152</v>
      </c>
      <c r="D30" s="19" t="str">
        <f>HYPERLINK("https://rmda.kulib.kyoto-u.ac.jp/item/rb00005276?page=152")</f>
        <v>https://rmda.kulib.kyoto-u.ac.jp/item/rb00005276?page=152</v>
      </c>
      <c r="E30" s="19">
        <v>46</v>
      </c>
      <c r="F30" s="19" t="str">
        <f>HYPERLINK("https://rmda.kulib.kyoto-u.ac.jp/item/rb00000349?page=46")</f>
        <v>https://rmda.kulib.kyoto-u.ac.jp/item/rb00000349?page=46</v>
      </c>
      <c r="G30" s="19"/>
    </row>
    <row r="31" spans="1:7" x14ac:dyDescent="0.15">
      <c r="A31" s="19" t="s">
        <v>8515</v>
      </c>
      <c r="B31" s="19" t="s">
        <v>8536</v>
      </c>
      <c r="C31" s="19">
        <v>159</v>
      </c>
      <c r="D31" s="19" t="str">
        <f>HYPERLINK("https://rmda.kulib.kyoto-u.ac.jp/item/rb00005276?page=159")</f>
        <v>https://rmda.kulib.kyoto-u.ac.jp/item/rb00005276?page=159</v>
      </c>
      <c r="E31" s="19">
        <v>54</v>
      </c>
      <c r="F31" s="19" t="str">
        <f>HYPERLINK("https://rmda.kulib.kyoto-u.ac.jp/item/rb00000349?page=54")</f>
        <v>https://rmda.kulib.kyoto-u.ac.jp/item/rb00000349?page=54</v>
      </c>
      <c r="G31" s="19"/>
    </row>
    <row r="32" spans="1:7" x14ac:dyDescent="0.15">
      <c r="A32" s="19" t="s">
        <v>8515</v>
      </c>
      <c r="B32" s="19" t="s">
        <v>8537</v>
      </c>
      <c r="C32" s="19">
        <v>165</v>
      </c>
      <c r="D32" s="19" t="str">
        <f>HYPERLINK("https://rmda.kulib.kyoto-u.ac.jp/item/rb00005276?page=165")</f>
        <v>https://rmda.kulib.kyoto-u.ac.jp/item/rb00005276?page=165</v>
      </c>
      <c r="E32" s="19">
        <v>56</v>
      </c>
      <c r="F32" s="19" t="str">
        <f>HYPERLINK("https://rmda.kulib.kyoto-u.ac.jp/item/rb00000349?page=56")</f>
        <v>https://rmda.kulib.kyoto-u.ac.jp/item/rb00000349?page=56</v>
      </c>
      <c r="G32" s="19"/>
    </row>
    <row r="33" spans="1:7" x14ac:dyDescent="0.15">
      <c r="A33" s="19" t="s">
        <v>8515</v>
      </c>
      <c r="B33" s="19" t="s">
        <v>7317</v>
      </c>
      <c r="C33" s="19">
        <v>169</v>
      </c>
      <c r="D33" s="19" t="str">
        <f>HYPERLINK("https://rmda.kulib.kyoto-u.ac.jp/item/rb00005276?page=169")</f>
        <v>https://rmda.kulib.kyoto-u.ac.jp/item/rb00005276?page=169</v>
      </c>
      <c r="E33" s="19">
        <v>57</v>
      </c>
      <c r="F33" s="19" t="str">
        <f>HYPERLINK("https://rmda.kulib.kyoto-u.ac.jp/item/rb00000349?page=57")</f>
        <v>https://rmda.kulib.kyoto-u.ac.jp/item/rb00000349?page=57</v>
      </c>
      <c r="G33" s="19"/>
    </row>
    <row r="34" spans="1:7" x14ac:dyDescent="0.15">
      <c r="A34" s="19" t="s">
        <v>8515</v>
      </c>
      <c r="B34" s="19" t="s">
        <v>7237</v>
      </c>
      <c r="C34" s="19">
        <v>180</v>
      </c>
      <c r="D34" s="19" t="str">
        <f>HYPERLINK("https://rmda.kulib.kyoto-u.ac.jp/item/rb00005276?page=180")</f>
        <v>https://rmda.kulib.kyoto-u.ac.jp/item/rb00005276?page=180</v>
      </c>
      <c r="E34" s="19">
        <v>59</v>
      </c>
      <c r="F34" s="19" t="str">
        <f>HYPERLINK("https://rmda.kulib.kyoto-u.ac.jp/item/rb00000349?page=59")</f>
        <v>https://rmda.kulib.kyoto-u.ac.jp/item/rb00000349?page=59</v>
      </c>
      <c r="G34" s="19"/>
    </row>
    <row r="35" spans="1:7" x14ac:dyDescent="0.15">
      <c r="A35" s="19" t="s">
        <v>8515</v>
      </c>
      <c r="B35" s="19" t="s">
        <v>6152</v>
      </c>
      <c r="C35" s="19">
        <v>186</v>
      </c>
      <c r="D35" s="19" t="str">
        <f>HYPERLINK("https://rmda.kulib.kyoto-u.ac.jp/item/rb00005276?page=186")</f>
        <v>https://rmda.kulib.kyoto-u.ac.jp/item/rb00005276?page=186</v>
      </c>
      <c r="E35" s="19">
        <v>62</v>
      </c>
      <c r="F35" s="19" t="str">
        <f>HYPERLINK("https://rmda.kulib.kyoto-u.ac.jp/item/rb00000349?page=62")</f>
        <v>https://rmda.kulib.kyoto-u.ac.jp/item/rb00000349?page=62</v>
      </c>
      <c r="G35" s="19"/>
    </row>
    <row r="36" spans="1:7" x14ac:dyDescent="0.15">
      <c r="A36" s="19" t="s">
        <v>8515</v>
      </c>
      <c r="B36" s="19" t="s">
        <v>8538</v>
      </c>
      <c r="C36" s="19">
        <v>189</v>
      </c>
      <c r="D36" s="19" t="str">
        <f>HYPERLINK("https://rmda.kulib.kyoto-u.ac.jp/item/rb00005276?page=189")</f>
        <v>https://rmda.kulib.kyoto-u.ac.jp/item/rb00005276?page=189</v>
      </c>
      <c r="E36" s="19"/>
      <c r="F36" s="19" t="s">
        <v>8531</v>
      </c>
      <c r="G36" s="19"/>
    </row>
    <row r="37" spans="1:7" x14ac:dyDescent="0.15">
      <c r="A37" s="19" t="s">
        <v>8515</v>
      </c>
      <c r="B37" s="20" t="s">
        <v>8539</v>
      </c>
      <c r="C37" s="19">
        <v>195</v>
      </c>
      <c r="D37" s="19" t="str">
        <f>HYPERLINK("https://rmda.kulib.kyoto-u.ac.jp/item/rb00005276?page=195")</f>
        <v>https://rmda.kulib.kyoto-u.ac.jp/item/rb00005276?page=195</v>
      </c>
      <c r="E37" s="19"/>
      <c r="F37" s="19" t="s">
        <v>8531</v>
      </c>
      <c r="G37" s="19"/>
    </row>
    <row r="38" spans="1:7" x14ac:dyDescent="0.15">
      <c r="A38" s="19" t="s">
        <v>8515</v>
      </c>
      <c r="B38" s="19" t="s">
        <v>8015</v>
      </c>
      <c r="C38" s="19">
        <v>195</v>
      </c>
      <c r="D38" s="19" t="str">
        <f>HYPERLINK("https://rmda.kulib.kyoto-u.ac.jp/item/rb00005276?page=195")</f>
        <v>https://rmda.kulib.kyoto-u.ac.jp/item/rb00005276?page=195</v>
      </c>
      <c r="E38" s="19">
        <v>69</v>
      </c>
      <c r="F38" s="19" t="str">
        <f>HYPERLINK("https://rmda.kulib.kyoto-u.ac.jp/item/rb00000349?page=69")</f>
        <v>https://rmda.kulib.kyoto-u.ac.jp/item/rb00000349?page=69</v>
      </c>
      <c r="G38" s="19"/>
    </row>
    <row r="39" spans="1:7" x14ac:dyDescent="0.15">
      <c r="A39" s="19" t="s">
        <v>8515</v>
      </c>
      <c r="B39" s="19" t="s">
        <v>8540</v>
      </c>
      <c r="C39" s="19">
        <v>202</v>
      </c>
      <c r="D39" s="19" t="str">
        <f>HYPERLINK("https://rmda.kulib.kyoto-u.ac.jp/item/rb00005276?page=202")</f>
        <v>https://rmda.kulib.kyoto-u.ac.jp/item/rb00005276?page=202</v>
      </c>
      <c r="E39" s="19">
        <v>72</v>
      </c>
      <c r="F39" s="19" t="str">
        <f>HYPERLINK("https://rmda.kulib.kyoto-u.ac.jp/item/rb00000349?page=72")</f>
        <v>https://rmda.kulib.kyoto-u.ac.jp/item/rb00000349?page=72</v>
      </c>
      <c r="G39" s="19"/>
    </row>
    <row r="40" spans="1:7" x14ac:dyDescent="0.15">
      <c r="A40" s="19" t="s">
        <v>8515</v>
      </c>
      <c r="B40" s="19" t="s">
        <v>8541</v>
      </c>
      <c r="C40" s="19">
        <v>209</v>
      </c>
      <c r="D40" s="19" t="str">
        <f>HYPERLINK("https://rmda.kulib.kyoto-u.ac.jp/item/rb00005276?page=209")</f>
        <v>https://rmda.kulib.kyoto-u.ac.jp/item/rb00005276?page=209</v>
      </c>
      <c r="E40" s="19">
        <v>73</v>
      </c>
      <c r="F40" s="19" t="str">
        <f>HYPERLINK("https://rmda.kulib.kyoto-u.ac.jp/item/rb00000349?page=73")</f>
        <v>https://rmda.kulib.kyoto-u.ac.jp/item/rb00000349?page=73</v>
      </c>
      <c r="G40" s="19"/>
    </row>
    <row r="41" spans="1:7" x14ac:dyDescent="0.15">
      <c r="A41" s="19" t="s">
        <v>8515</v>
      </c>
      <c r="B41" s="19" t="s">
        <v>5678</v>
      </c>
      <c r="C41" s="19">
        <v>216</v>
      </c>
      <c r="D41" s="19" t="str">
        <f>HYPERLINK("https://rmda.kulib.kyoto-u.ac.jp/item/rb00005276?page=216")</f>
        <v>https://rmda.kulib.kyoto-u.ac.jp/item/rb00005276?page=216</v>
      </c>
      <c r="E41" s="19">
        <v>74</v>
      </c>
      <c r="F41" s="19" t="str">
        <f>HYPERLINK("https://rmda.kulib.kyoto-u.ac.jp/item/rb00000349?page=74")</f>
        <v>https://rmda.kulib.kyoto-u.ac.jp/item/rb00000349?page=74</v>
      </c>
      <c r="G41" s="19"/>
    </row>
    <row r="42" spans="1:7" x14ac:dyDescent="0.15">
      <c r="A42" s="19" t="s">
        <v>8515</v>
      </c>
      <c r="B42" s="19" t="s">
        <v>7189</v>
      </c>
      <c r="C42" s="19">
        <v>220</v>
      </c>
      <c r="D42" s="19" t="str">
        <f>HYPERLINK("https://rmda.kulib.kyoto-u.ac.jp/item/rb00005276?page=220")</f>
        <v>https://rmda.kulib.kyoto-u.ac.jp/item/rb00005276?page=220</v>
      </c>
      <c r="E42" s="19">
        <v>75</v>
      </c>
      <c r="F42" s="19" t="str">
        <f>HYPERLINK("https://rmda.kulib.kyoto-u.ac.jp/item/rb00000349?page=75")</f>
        <v>https://rmda.kulib.kyoto-u.ac.jp/item/rb00000349?page=75</v>
      </c>
      <c r="G42" s="19"/>
    </row>
    <row r="43" spans="1:7" x14ac:dyDescent="0.15">
      <c r="A43" s="19" t="s">
        <v>8515</v>
      </c>
      <c r="B43" s="19" t="s">
        <v>8542</v>
      </c>
      <c r="C43" s="19">
        <v>222</v>
      </c>
      <c r="D43" s="19" t="str">
        <f>HYPERLINK("https://rmda.kulib.kyoto-u.ac.jp/item/rb00005276?page=222")</f>
        <v>https://rmda.kulib.kyoto-u.ac.jp/item/rb00005276?page=222</v>
      </c>
      <c r="E43" s="19">
        <v>76</v>
      </c>
      <c r="F43" s="19" t="str">
        <f>HYPERLINK("https://rmda.kulib.kyoto-u.ac.jp/item/rb00000349?page=76")</f>
        <v>https://rmda.kulib.kyoto-u.ac.jp/item/rb00000349?page=76</v>
      </c>
      <c r="G43" s="19"/>
    </row>
    <row r="44" spans="1:7" x14ac:dyDescent="0.15">
      <c r="A44" s="19" t="s">
        <v>8515</v>
      </c>
      <c r="B44" s="19" t="s">
        <v>8543</v>
      </c>
      <c r="C44" s="19">
        <v>228</v>
      </c>
      <c r="D44" s="19" t="str">
        <f>HYPERLINK("https://rmda.kulib.kyoto-u.ac.jp/item/rb00005276?page=228")</f>
        <v>https://rmda.kulib.kyoto-u.ac.jp/item/rb00005276?page=228</v>
      </c>
      <c r="E44" s="19">
        <v>76</v>
      </c>
      <c r="F44" s="19" t="str">
        <f>HYPERLINK("https://rmda.kulib.kyoto-u.ac.jp/item/rb00000349?page=76")</f>
        <v>https://rmda.kulib.kyoto-u.ac.jp/item/rb00000349?page=76</v>
      </c>
      <c r="G44" s="19"/>
    </row>
    <row r="45" spans="1:7" x14ac:dyDescent="0.15">
      <c r="A45" s="19" t="s">
        <v>8515</v>
      </c>
      <c r="B45" s="19" t="s">
        <v>8544</v>
      </c>
      <c r="C45" s="19">
        <v>231</v>
      </c>
      <c r="D45" s="19" t="str">
        <f>HYPERLINK("https://rmda.kulib.kyoto-u.ac.jp/item/rb00005276?page=231")</f>
        <v>https://rmda.kulib.kyoto-u.ac.jp/item/rb00005276?page=231</v>
      </c>
      <c r="E45" s="19">
        <v>77</v>
      </c>
      <c r="F45" s="19" t="str">
        <f>HYPERLINK("https://rmda.kulib.kyoto-u.ac.jp/item/rb00000349?page=77")</f>
        <v>https://rmda.kulib.kyoto-u.ac.jp/item/rb00000349?page=77</v>
      </c>
      <c r="G45" s="19"/>
    </row>
    <row r="46" spans="1:7" x14ac:dyDescent="0.15">
      <c r="A46" s="19" t="s">
        <v>8515</v>
      </c>
      <c r="B46" s="19" t="s">
        <v>8545</v>
      </c>
      <c r="C46" s="19">
        <v>232</v>
      </c>
      <c r="D46" s="19" t="str">
        <f>HYPERLINK("https://rmda.kulib.kyoto-u.ac.jp/item/rb00005276?page=232")</f>
        <v>https://rmda.kulib.kyoto-u.ac.jp/item/rb00005276?page=232</v>
      </c>
      <c r="E46" s="19">
        <v>78</v>
      </c>
      <c r="F46" s="19" t="str">
        <f>HYPERLINK("https://rmda.kulib.kyoto-u.ac.jp/item/rb00000349?page=78")</f>
        <v>https://rmda.kulib.kyoto-u.ac.jp/item/rb00000349?page=78</v>
      </c>
      <c r="G46" s="19"/>
    </row>
    <row r="47" spans="1:7" x14ac:dyDescent="0.15">
      <c r="A47" s="19" t="s">
        <v>8515</v>
      </c>
      <c r="B47" s="20" t="s">
        <v>8546</v>
      </c>
      <c r="C47" s="19">
        <v>234</v>
      </c>
      <c r="D47" s="19" t="str">
        <f>HYPERLINK("https://rmda.kulib.kyoto-u.ac.jp/item/rb00005276?page=234")</f>
        <v>https://rmda.kulib.kyoto-u.ac.jp/item/rb00005276?page=234</v>
      </c>
      <c r="E47" s="19">
        <v>77</v>
      </c>
      <c r="F47" s="19" t="str">
        <f>HYPERLINK("https://rmda.kulib.kyoto-u.ac.jp/item/rb00000349?page=77")</f>
        <v>https://rmda.kulib.kyoto-u.ac.jp/item/rb00000349?page=77</v>
      </c>
      <c r="G47" s="19"/>
    </row>
    <row r="48" spans="1:7" x14ac:dyDescent="0.15">
      <c r="A48" s="19" t="s">
        <v>8515</v>
      </c>
      <c r="B48" s="19" t="s">
        <v>8547</v>
      </c>
      <c r="C48" s="19">
        <v>236</v>
      </c>
      <c r="D48" s="19" t="str">
        <f>HYPERLINK("https://rmda.kulib.kyoto-u.ac.jp/item/rb00005276?page=236")</f>
        <v>https://rmda.kulib.kyoto-u.ac.jp/item/rb00005276?page=236</v>
      </c>
      <c r="E48" s="19">
        <v>79</v>
      </c>
      <c r="F48" s="19" t="str">
        <f>HYPERLINK("https://rmda.kulib.kyoto-u.ac.jp/item/rb00000349?page=79")</f>
        <v>https://rmda.kulib.kyoto-u.ac.jp/item/rb00000349?page=79</v>
      </c>
      <c r="G48" s="19"/>
    </row>
    <row r="49" spans="1:7" x14ac:dyDescent="0.15">
      <c r="A49" s="19" t="s">
        <v>8515</v>
      </c>
      <c r="B49" s="19" t="s">
        <v>8468</v>
      </c>
      <c r="C49" s="19">
        <v>240</v>
      </c>
      <c r="D49" s="19" t="str">
        <f>HYPERLINK("https://rmda.kulib.kyoto-u.ac.jp/item/rb00005276?page=240")</f>
        <v>https://rmda.kulib.kyoto-u.ac.jp/item/rb00005276?page=240</v>
      </c>
      <c r="E49" s="19"/>
      <c r="F49" s="19" t="s">
        <v>8531</v>
      </c>
      <c r="G49" s="19"/>
    </row>
    <row r="50" spans="1:7" x14ac:dyDescent="0.15">
      <c r="A50" s="19" t="s">
        <v>8515</v>
      </c>
      <c r="B50" s="19" t="s">
        <v>8548</v>
      </c>
      <c r="C50" s="19">
        <v>242</v>
      </c>
      <c r="D50" s="19" t="str">
        <f>HYPERLINK("https://rmda.kulib.kyoto-u.ac.jp/item/rb00005276?page=242")</f>
        <v>https://rmda.kulib.kyoto-u.ac.jp/item/rb00005276?page=242</v>
      </c>
      <c r="E50" s="19">
        <v>80</v>
      </c>
      <c r="F50" s="19" t="str">
        <f>HYPERLINK("https://rmda.kulib.kyoto-u.ac.jp/item/rb00000349?page=80")</f>
        <v>https://rmda.kulib.kyoto-u.ac.jp/item/rb00000349?page=80</v>
      </c>
      <c r="G50" s="19"/>
    </row>
    <row r="51" spans="1:7" x14ac:dyDescent="0.15">
      <c r="A51" s="19" t="s">
        <v>8515</v>
      </c>
      <c r="B51" s="19" t="s">
        <v>5940</v>
      </c>
      <c r="C51" s="19">
        <v>244</v>
      </c>
      <c r="D51" s="19" t="str">
        <f>HYPERLINK("https://rmda.kulib.kyoto-u.ac.jp/item/rb00005276?page=244")</f>
        <v>https://rmda.kulib.kyoto-u.ac.jp/item/rb00005276?page=244</v>
      </c>
      <c r="E51" s="19">
        <v>81</v>
      </c>
      <c r="F51" s="19" t="str">
        <f>HYPERLINK("https://rmda.kulib.kyoto-u.ac.jp/item/rb00000349?page=81")</f>
        <v>https://rmda.kulib.kyoto-u.ac.jp/item/rb00000349?page=81</v>
      </c>
      <c r="G51" s="19"/>
    </row>
    <row r="52" spans="1:7" x14ac:dyDescent="0.15">
      <c r="A52" s="19" t="s">
        <v>8515</v>
      </c>
      <c r="B52" s="19" t="s">
        <v>8483</v>
      </c>
      <c r="C52" s="19">
        <v>249</v>
      </c>
      <c r="D52" s="19" t="str">
        <f>HYPERLINK("https://rmda.kulib.kyoto-u.ac.jp/item/rb00005276?page=249")</f>
        <v>https://rmda.kulib.kyoto-u.ac.jp/item/rb00005276?page=249</v>
      </c>
      <c r="E52" s="19">
        <v>83</v>
      </c>
      <c r="F52" s="19" t="str">
        <f>HYPERLINK("https://rmda.kulib.kyoto-u.ac.jp/item/rb00000349?page=83")</f>
        <v>https://rmda.kulib.kyoto-u.ac.jp/item/rb00000349?page=83</v>
      </c>
      <c r="G52" s="19"/>
    </row>
    <row r="53" spans="1:7" x14ac:dyDescent="0.15">
      <c r="A53" s="19" t="s">
        <v>8515</v>
      </c>
      <c r="B53" s="19" t="s">
        <v>8213</v>
      </c>
      <c r="C53" s="19">
        <v>253</v>
      </c>
      <c r="D53" s="19" t="str">
        <f>HYPERLINK("https://rmda.kulib.kyoto-u.ac.jp/item/rb00005276?page=253")</f>
        <v>https://rmda.kulib.kyoto-u.ac.jp/item/rb00005276?page=253</v>
      </c>
      <c r="E53" s="19">
        <v>84</v>
      </c>
      <c r="F53" s="19" t="str">
        <f>HYPERLINK("https://rmda.kulib.kyoto-u.ac.jp/item/rb00000349?page=84")</f>
        <v>https://rmda.kulib.kyoto-u.ac.jp/item/rb00000349?page=84</v>
      </c>
      <c r="G53" s="19"/>
    </row>
    <row r="54" spans="1:7" x14ac:dyDescent="0.15">
      <c r="A54" s="19" t="s">
        <v>8515</v>
      </c>
      <c r="B54" s="19" t="s">
        <v>8549</v>
      </c>
      <c r="C54" s="19">
        <v>259</v>
      </c>
      <c r="D54" s="19" t="str">
        <f>HYPERLINK("https://rmda.kulib.kyoto-u.ac.jp/item/rb00005276?page=259")</f>
        <v>https://rmda.kulib.kyoto-u.ac.jp/item/rb00005276?page=259</v>
      </c>
      <c r="E54" s="19">
        <v>85</v>
      </c>
      <c r="F54" s="19" t="str">
        <f>HYPERLINK("https://rmda.kulib.kyoto-u.ac.jp/item/rb00000349?page=85")</f>
        <v>https://rmda.kulib.kyoto-u.ac.jp/item/rb00000349?page=85</v>
      </c>
      <c r="G54" s="19"/>
    </row>
    <row r="55" spans="1:7" x14ac:dyDescent="0.15">
      <c r="A55" s="19" t="s">
        <v>8515</v>
      </c>
      <c r="B55" s="19" t="s">
        <v>8550</v>
      </c>
      <c r="C55" s="19">
        <v>261</v>
      </c>
      <c r="D55" s="19" t="str">
        <f>HYPERLINK("https://rmda.kulib.kyoto-u.ac.jp/item/rb00005276?page=261")</f>
        <v>https://rmda.kulib.kyoto-u.ac.jp/item/rb00005276?page=261</v>
      </c>
      <c r="E55" s="19">
        <v>87</v>
      </c>
      <c r="F55" s="19" t="str">
        <f>HYPERLINK("https://rmda.kulib.kyoto-u.ac.jp/item/rb00000349?page=87")</f>
        <v>https://rmda.kulib.kyoto-u.ac.jp/item/rb00000349?page=87</v>
      </c>
      <c r="G55" s="17" t="s">
        <v>8551</v>
      </c>
    </row>
    <row r="56" spans="1:7" x14ac:dyDescent="0.15">
      <c r="A56" s="19" t="s">
        <v>8515</v>
      </c>
      <c r="B56" s="19" t="s">
        <v>6945</v>
      </c>
      <c r="C56" s="19">
        <v>263</v>
      </c>
      <c r="D56" s="19" t="str">
        <f>HYPERLINK("https://rmda.kulib.kyoto-u.ac.jp/item/rb00005276?page=263")</f>
        <v>https://rmda.kulib.kyoto-u.ac.jp/item/rb00005276?page=263</v>
      </c>
      <c r="E56" s="19">
        <v>88</v>
      </c>
      <c r="F56" s="19" t="str">
        <f>HYPERLINK("https://rmda.kulib.kyoto-u.ac.jp/item/rb00000349?page=88")</f>
        <v>https://rmda.kulib.kyoto-u.ac.jp/item/rb00000349?page=88</v>
      </c>
      <c r="G56" s="19"/>
    </row>
    <row r="57" spans="1:7" x14ac:dyDescent="0.15">
      <c r="A57" s="19" t="s">
        <v>8515</v>
      </c>
      <c r="B57" s="19" t="s">
        <v>8552</v>
      </c>
      <c r="C57" s="19">
        <v>264</v>
      </c>
      <c r="D57" s="19" t="str">
        <f>HYPERLINK("https://rmda.kulib.kyoto-u.ac.jp/item/rb00005276?page=264")</f>
        <v>https://rmda.kulib.kyoto-u.ac.jp/item/rb00005276?page=264</v>
      </c>
      <c r="E57" s="19">
        <v>89</v>
      </c>
      <c r="F57" s="19" t="str">
        <f>HYPERLINK("https://rmda.kulib.kyoto-u.ac.jp/item/rb00000349?page=89")</f>
        <v>https://rmda.kulib.kyoto-u.ac.jp/item/rb00000349?page=89</v>
      </c>
      <c r="G57" s="19"/>
    </row>
    <row r="58" spans="1:7" x14ac:dyDescent="0.15">
      <c r="A58" s="19" t="s">
        <v>8515</v>
      </c>
      <c r="B58" s="20" t="s">
        <v>8553</v>
      </c>
      <c r="C58" s="19">
        <v>272</v>
      </c>
      <c r="D58" s="19" t="str">
        <f>HYPERLINK("https://rmda.kulib.kyoto-u.ac.jp/item/rb00005276?page=272")</f>
        <v>https://rmda.kulib.kyoto-u.ac.jp/item/rb00005276?page=272</v>
      </c>
      <c r="E58" s="19"/>
      <c r="F58" s="19" t="s">
        <v>8531</v>
      </c>
      <c r="G58" s="19"/>
    </row>
    <row r="59" spans="1:7" x14ac:dyDescent="0.15">
      <c r="A59" s="19" t="s">
        <v>8515</v>
      </c>
      <c r="B59" s="19" t="s">
        <v>8554</v>
      </c>
      <c r="C59" s="19">
        <v>272</v>
      </c>
      <c r="D59" s="19" t="str">
        <f>HYPERLINK("https://rmda.kulib.kyoto-u.ac.jp/item/rb00005276?page=272")</f>
        <v>https://rmda.kulib.kyoto-u.ac.jp/item/rb00005276?page=272</v>
      </c>
      <c r="E59" s="19">
        <v>91</v>
      </c>
      <c r="F59" s="19" t="str">
        <f>HYPERLINK("https://rmda.kulib.kyoto-u.ac.jp/item/rb00000349?page=91")</f>
        <v>https://rmda.kulib.kyoto-u.ac.jp/item/rb00000349?page=91</v>
      </c>
      <c r="G59" s="17" t="s">
        <v>8555</v>
      </c>
    </row>
    <row r="60" spans="1:7" x14ac:dyDescent="0.15">
      <c r="A60" s="19" t="s">
        <v>8515</v>
      </c>
      <c r="B60" s="19" t="s">
        <v>8034</v>
      </c>
      <c r="C60" s="19">
        <v>291</v>
      </c>
      <c r="D60" s="19" t="str">
        <f>HYPERLINK("https://rmda.kulib.kyoto-u.ac.jp/item/rb00005276?page=291")</f>
        <v>https://rmda.kulib.kyoto-u.ac.jp/item/rb00005276?page=291</v>
      </c>
      <c r="E60" s="19">
        <v>92</v>
      </c>
      <c r="F60" s="19" t="str">
        <f>HYPERLINK("https://rmda.kulib.kyoto-u.ac.jp/item/rb00000349?page=92")</f>
        <v>https://rmda.kulib.kyoto-u.ac.jp/item/rb00000349?page=92</v>
      </c>
      <c r="G60" s="19"/>
    </row>
    <row r="61" spans="1:7" x14ac:dyDescent="0.15">
      <c r="A61" s="19" t="s">
        <v>8515</v>
      </c>
      <c r="B61" s="19" t="s">
        <v>8556</v>
      </c>
      <c r="C61" s="19">
        <v>299</v>
      </c>
      <c r="D61" s="19" t="str">
        <f>HYPERLINK("https://rmda.kulib.kyoto-u.ac.jp/item/rb00005276?page=299")</f>
        <v>https://rmda.kulib.kyoto-u.ac.jp/item/rb00005276?page=299</v>
      </c>
      <c r="E61" s="19">
        <v>95</v>
      </c>
      <c r="F61" s="19" t="str">
        <f>HYPERLINK("https://rmda.kulib.kyoto-u.ac.jp/item/rb00000349?page=95")</f>
        <v>https://rmda.kulib.kyoto-u.ac.jp/item/rb00000349?page=95</v>
      </c>
      <c r="G61" s="19"/>
    </row>
    <row r="62" spans="1:7" x14ac:dyDescent="0.15">
      <c r="A62" s="19" t="s">
        <v>8515</v>
      </c>
      <c r="B62" s="19" t="s">
        <v>8557</v>
      </c>
      <c r="C62" s="19">
        <v>307</v>
      </c>
      <c r="D62" s="19" t="str">
        <f>HYPERLINK("https://rmda.kulib.kyoto-u.ac.jp/item/rb00005276?page=307")</f>
        <v>https://rmda.kulib.kyoto-u.ac.jp/item/rb00005276?page=307</v>
      </c>
      <c r="E62" s="19">
        <v>97</v>
      </c>
      <c r="F62" s="19" t="str">
        <f>HYPERLINK("https://rmda.kulib.kyoto-u.ac.jp/item/rb00000349?page=97")</f>
        <v>https://rmda.kulib.kyoto-u.ac.jp/item/rb00000349?page=97</v>
      </c>
      <c r="G62" s="19"/>
    </row>
    <row r="63" spans="1:7" x14ac:dyDescent="0.15">
      <c r="A63" s="19" t="s">
        <v>8515</v>
      </c>
      <c r="B63" s="19" t="s">
        <v>8558</v>
      </c>
      <c r="C63" s="19">
        <v>307</v>
      </c>
      <c r="D63" s="19" t="str">
        <f>HYPERLINK("https://rmda.kulib.kyoto-u.ac.jp/item/rb00005276?page=307")</f>
        <v>https://rmda.kulib.kyoto-u.ac.jp/item/rb00005276?page=307</v>
      </c>
      <c r="E63" s="19"/>
      <c r="F63" s="19" t="s">
        <v>8531</v>
      </c>
      <c r="G63" s="19"/>
    </row>
    <row r="64" spans="1:7" x14ac:dyDescent="0.15">
      <c r="A64" s="19" t="s">
        <v>8515</v>
      </c>
      <c r="B64" s="19" t="s">
        <v>8559</v>
      </c>
      <c r="C64" s="19">
        <v>308</v>
      </c>
      <c r="D64" s="19" t="str">
        <f>HYPERLINK("https://rmda.kulib.kyoto-u.ac.jp/item/rb00005276?page=308")</f>
        <v>https://rmda.kulib.kyoto-u.ac.jp/item/rb00005276?page=308</v>
      </c>
      <c r="E64" s="19">
        <v>98</v>
      </c>
      <c r="F64" s="19" t="str">
        <f>HYPERLINK("https://rmda.kulib.kyoto-u.ac.jp/item/rb00000349?page=98")</f>
        <v>https://rmda.kulib.kyoto-u.ac.jp/item/rb00000349?page=98</v>
      </c>
      <c r="G64" s="19"/>
    </row>
    <row r="65" spans="1:7" x14ac:dyDescent="0.15">
      <c r="A65" s="19" t="s">
        <v>8515</v>
      </c>
      <c r="B65" s="19" t="s">
        <v>7653</v>
      </c>
      <c r="C65" s="19">
        <v>311</v>
      </c>
      <c r="D65" s="19" t="str">
        <f>HYPERLINK("https://rmda.kulib.kyoto-u.ac.jp/item/rb00005276?page=311")</f>
        <v>https://rmda.kulib.kyoto-u.ac.jp/item/rb00005276?page=311</v>
      </c>
      <c r="E65" s="19">
        <v>100</v>
      </c>
      <c r="F65" s="19" t="str">
        <f>HYPERLINK("https://rmda.kulib.kyoto-u.ac.jp/item/rb00000349?page=100")</f>
        <v>https://rmda.kulib.kyoto-u.ac.jp/item/rb00000349?page=100</v>
      </c>
      <c r="G65" s="19"/>
    </row>
    <row r="66" spans="1:7" x14ac:dyDescent="0.15">
      <c r="A66" s="19" t="s">
        <v>8515</v>
      </c>
      <c r="B66" s="19" t="s">
        <v>6536</v>
      </c>
      <c r="C66" s="19">
        <v>314</v>
      </c>
      <c r="D66" s="19" t="str">
        <f>HYPERLINK("https://rmda.kulib.kyoto-u.ac.jp/item/rb00005276?page=314")</f>
        <v>https://rmda.kulib.kyoto-u.ac.jp/item/rb00005276?page=314</v>
      </c>
      <c r="E66" s="19">
        <v>102</v>
      </c>
      <c r="F66" s="19" t="str">
        <f>HYPERLINK("https://rmda.kulib.kyoto-u.ac.jp/item/rb00000349?page=102")</f>
        <v>https://rmda.kulib.kyoto-u.ac.jp/item/rb00000349?page=102</v>
      </c>
      <c r="G66" s="19"/>
    </row>
    <row r="67" spans="1:7" x14ac:dyDescent="0.15">
      <c r="A67" s="19" t="s">
        <v>8515</v>
      </c>
      <c r="B67" s="19" t="s">
        <v>8560</v>
      </c>
      <c r="C67" s="19">
        <v>316</v>
      </c>
      <c r="D67" s="19" t="str">
        <f>HYPERLINK("https://rmda.kulib.kyoto-u.ac.jp/item/rb00005276?page=316")</f>
        <v>https://rmda.kulib.kyoto-u.ac.jp/item/rb00005276?page=316</v>
      </c>
      <c r="E67" s="19">
        <v>102</v>
      </c>
      <c r="F67" s="19" t="str">
        <f>HYPERLINK("https://rmda.kulib.kyoto-u.ac.jp/item/rb00000349?page=102")</f>
        <v>https://rmda.kulib.kyoto-u.ac.jp/item/rb00000349?page=102</v>
      </c>
      <c r="G67" s="19"/>
    </row>
    <row r="68" spans="1:7" x14ac:dyDescent="0.15">
      <c r="A68" s="19" t="s">
        <v>8515</v>
      </c>
      <c r="B68" s="19" t="s">
        <v>8561</v>
      </c>
      <c r="C68" s="19">
        <v>319</v>
      </c>
      <c r="D68" s="19" t="str">
        <f>HYPERLINK("https://rmda.kulib.kyoto-u.ac.jp/item/rb00005276?page=319")</f>
        <v>https://rmda.kulib.kyoto-u.ac.jp/item/rb00005276?page=319</v>
      </c>
      <c r="E68" s="19">
        <v>105</v>
      </c>
      <c r="F68" s="19" t="str">
        <f>HYPERLINK("https://rmda.kulib.kyoto-u.ac.jp/item/rb00000349?page=105")</f>
        <v>https://rmda.kulib.kyoto-u.ac.jp/item/rb00000349?page=105</v>
      </c>
      <c r="G68" s="19"/>
    </row>
    <row r="69" spans="1:7" x14ac:dyDescent="0.15">
      <c r="A69" s="19" t="s">
        <v>8515</v>
      </c>
      <c r="B69" s="19" t="s">
        <v>7679</v>
      </c>
      <c r="C69" s="19">
        <v>322</v>
      </c>
      <c r="D69" s="19" t="str">
        <f>HYPERLINK("https://rmda.kulib.kyoto-u.ac.jp/item/rb00005276?page=322")</f>
        <v>https://rmda.kulib.kyoto-u.ac.jp/item/rb00005276?page=322</v>
      </c>
      <c r="E69" s="19">
        <v>105</v>
      </c>
      <c r="F69" s="19" t="str">
        <f>HYPERLINK("https://rmda.kulib.kyoto-u.ac.jp/item/rb00000349?page=105")</f>
        <v>https://rmda.kulib.kyoto-u.ac.jp/item/rb00000349?page=105</v>
      </c>
      <c r="G69" s="19"/>
    </row>
    <row r="70" spans="1:7" x14ac:dyDescent="0.15">
      <c r="A70" s="19" t="s">
        <v>8515</v>
      </c>
      <c r="B70" s="19" t="s">
        <v>8562</v>
      </c>
      <c r="C70" s="19">
        <v>324</v>
      </c>
      <c r="D70" s="19" t="str">
        <f>HYPERLINK("https://rmda.kulib.kyoto-u.ac.jp/item/rb00005276?page=324")</f>
        <v>https://rmda.kulib.kyoto-u.ac.jp/item/rb00005276?page=324</v>
      </c>
      <c r="E70" s="19">
        <v>106</v>
      </c>
      <c r="F70" s="19" t="str">
        <f>HYPERLINK("https://rmda.kulib.kyoto-u.ac.jp/item/rb00000349?page=106")</f>
        <v>https://rmda.kulib.kyoto-u.ac.jp/item/rb00000349?page=106</v>
      </c>
      <c r="G70" s="19"/>
    </row>
    <row r="71" spans="1:7" x14ac:dyDescent="0.15">
      <c r="A71" s="19" t="s">
        <v>8515</v>
      </c>
      <c r="B71" s="19" t="s">
        <v>8023</v>
      </c>
      <c r="C71" s="19">
        <v>325</v>
      </c>
      <c r="D71" s="19" t="str">
        <f>HYPERLINK("https://rmda.kulib.kyoto-u.ac.jp/item/rb00005276?page=325")</f>
        <v>https://rmda.kulib.kyoto-u.ac.jp/item/rb00005276?page=325</v>
      </c>
      <c r="E71" s="19">
        <v>107</v>
      </c>
      <c r="F71" s="19" t="str">
        <f>HYPERLINK("https://rmda.kulib.kyoto-u.ac.jp/item/rb00000349?page=107")</f>
        <v>https://rmda.kulib.kyoto-u.ac.jp/item/rb00000349?page=107</v>
      </c>
      <c r="G71" s="19"/>
    </row>
    <row r="72" spans="1:7" x14ac:dyDescent="0.15">
      <c r="A72" s="19" t="s">
        <v>8515</v>
      </c>
      <c r="B72" s="19" t="s">
        <v>8031</v>
      </c>
      <c r="C72" s="19">
        <v>328</v>
      </c>
      <c r="D72" s="19" t="str">
        <f>HYPERLINK("https://rmda.kulib.kyoto-u.ac.jp/item/rb00005276?page=328")</f>
        <v>https://rmda.kulib.kyoto-u.ac.jp/item/rb00005276?page=328</v>
      </c>
      <c r="E72" s="19">
        <v>107</v>
      </c>
      <c r="F72" s="19" t="str">
        <f>HYPERLINK("https://rmda.kulib.kyoto-u.ac.jp/item/rb00000349?page=107")</f>
        <v>https://rmda.kulib.kyoto-u.ac.jp/item/rb00000349?page=107</v>
      </c>
      <c r="G72" s="19"/>
    </row>
    <row r="73" spans="1:7" x14ac:dyDescent="0.15">
      <c r="A73" s="19" t="s">
        <v>8515</v>
      </c>
      <c r="B73" s="19" t="s">
        <v>7785</v>
      </c>
      <c r="C73" s="19">
        <v>328</v>
      </c>
      <c r="D73" s="19" t="str">
        <f>HYPERLINK("https://rmda.kulib.kyoto-u.ac.jp/item/rb00005276?page=328")</f>
        <v>https://rmda.kulib.kyoto-u.ac.jp/item/rb00005276?page=328</v>
      </c>
      <c r="E73" s="19">
        <v>108</v>
      </c>
      <c r="F73" s="19" t="str">
        <f>HYPERLINK("https://rmda.kulib.kyoto-u.ac.jp/item/rb00000349?page=108")</f>
        <v>https://rmda.kulib.kyoto-u.ac.jp/item/rb00000349?page=108</v>
      </c>
      <c r="G73" s="19"/>
    </row>
    <row r="74" spans="1:7" x14ac:dyDescent="0.15">
      <c r="A74" s="19" t="s">
        <v>8515</v>
      </c>
      <c r="B74" s="19" t="s">
        <v>5997</v>
      </c>
      <c r="C74" s="19">
        <v>329</v>
      </c>
      <c r="D74" s="19" t="str">
        <f>HYPERLINK("https://rmda.kulib.kyoto-u.ac.jp/item/rb00005276?page=329")</f>
        <v>https://rmda.kulib.kyoto-u.ac.jp/item/rb00005276?page=329</v>
      </c>
      <c r="E74" s="19">
        <v>108</v>
      </c>
      <c r="F74" s="19" t="str">
        <f>HYPERLINK("https://rmda.kulib.kyoto-u.ac.jp/item/rb00000349?page=108")</f>
        <v>https://rmda.kulib.kyoto-u.ac.jp/item/rb00000349?page=108</v>
      </c>
      <c r="G74" s="19"/>
    </row>
    <row r="75" spans="1:7" x14ac:dyDescent="0.15">
      <c r="A75" s="19" t="s">
        <v>8515</v>
      </c>
      <c r="B75" s="19" t="s">
        <v>8563</v>
      </c>
      <c r="C75" s="19">
        <v>330</v>
      </c>
      <c r="D75" s="19" t="str">
        <f>HYPERLINK("https://rmda.kulib.kyoto-u.ac.jp/item/rb00005276?page=330")</f>
        <v>https://rmda.kulib.kyoto-u.ac.jp/item/rb00005276?page=330</v>
      </c>
      <c r="E75" s="19">
        <v>109</v>
      </c>
      <c r="F75" s="19" t="str">
        <f>HYPERLINK("https://rmda.kulib.kyoto-u.ac.jp/item/rb00000349?page=109")</f>
        <v>https://rmda.kulib.kyoto-u.ac.jp/item/rb00000349?page=109</v>
      </c>
      <c r="G75" s="19"/>
    </row>
    <row r="76" spans="1:7" x14ac:dyDescent="0.15">
      <c r="A76" s="19" t="s">
        <v>8515</v>
      </c>
      <c r="B76" s="19" t="s">
        <v>8564</v>
      </c>
      <c r="C76" s="19">
        <v>331</v>
      </c>
      <c r="D76" s="19" t="str">
        <f>HYPERLINK("https://rmda.kulib.kyoto-u.ac.jp/item/rb00005276?page=331")</f>
        <v>https://rmda.kulib.kyoto-u.ac.jp/item/rb00005276?page=331</v>
      </c>
      <c r="E76" s="19">
        <v>110</v>
      </c>
      <c r="F76" s="19" t="str">
        <f>HYPERLINK("https://rmda.kulib.kyoto-u.ac.jp/item/rb00000349?page=110")</f>
        <v>https://rmda.kulib.kyoto-u.ac.jp/item/rb00000349?page=110</v>
      </c>
      <c r="G76" s="19"/>
    </row>
    <row r="77" spans="1:7" x14ac:dyDescent="0.15">
      <c r="A77" s="19" t="s">
        <v>8515</v>
      </c>
      <c r="B77" s="19" t="s">
        <v>5984</v>
      </c>
      <c r="C77" s="19">
        <v>334</v>
      </c>
      <c r="D77" s="19" t="str">
        <f>HYPERLINK("https://rmda.kulib.kyoto-u.ac.jp/item/rb00005276?page=334")</f>
        <v>https://rmda.kulib.kyoto-u.ac.jp/item/rb00005276?page=334</v>
      </c>
      <c r="E77" s="19">
        <v>110</v>
      </c>
      <c r="F77" s="19" t="str">
        <f>HYPERLINK("https://rmda.kulib.kyoto-u.ac.jp/item/rb00000349?page=110")</f>
        <v>https://rmda.kulib.kyoto-u.ac.jp/item/rb00000349?page=110</v>
      </c>
      <c r="G77" s="19"/>
    </row>
    <row r="78" spans="1:7" x14ac:dyDescent="0.15">
      <c r="A78" s="19" t="s">
        <v>8515</v>
      </c>
      <c r="B78" s="19" t="s">
        <v>8565</v>
      </c>
      <c r="C78" s="19">
        <v>338</v>
      </c>
      <c r="D78" s="19" t="str">
        <f>HYPERLINK("https://rmda.kulib.kyoto-u.ac.jp/item/rb00005276?page=338")</f>
        <v>https://rmda.kulib.kyoto-u.ac.jp/item/rb00005276?page=338</v>
      </c>
      <c r="E78" s="19">
        <v>115</v>
      </c>
      <c r="F78" s="19" t="str">
        <f>HYPERLINK("https://rmda.kulib.kyoto-u.ac.jp/item/rb00000349?page=115")</f>
        <v>https://rmda.kulib.kyoto-u.ac.jp/item/rb00000349?page=115</v>
      </c>
      <c r="G78" s="19"/>
    </row>
    <row r="79" spans="1:7" x14ac:dyDescent="0.15">
      <c r="A79" s="19" t="s">
        <v>8515</v>
      </c>
      <c r="B79" s="19" t="s">
        <v>7577</v>
      </c>
      <c r="C79" s="19">
        <v>341</v>
      </c>
      <c r="D79" s="19" t="str">
        <f>HYPERLINK("https://rmda.kulib.kyoto-u.ac.jp/item/rb00005276?page=341")</f>
        <v>https://rmda.kulib.kyoto-u.ac.jp/item/rb00005276?page=341</v>
      </c>
      <c r="E79" s="19">
        <v>117</v>
      </c>
      <c r="F79" s="19" t="str">
        <f>HYPERLINK("https://rmda.kulib.kyoto-u.ac.jp/item/rb00000349?page=117")</f>
        <v>https://rmda.kulib.kyoto-u.ac.jp/item/rb00000349?page=117</v>
      </c>
      <c r="G79" s="19"/>
    </row>
    <row r="80" spans="1:7" x14ac:dyDescent="0.15">
      <c r="A80" s="19" t="s">
        <v>8515</v>
      </c>
      <c r="B80" s="19" t="s">
        <v>6833</v>
      </c>
      <c r="C80" s="19">
        <v>341</v>
      </c>
      <c r="D80" s="19" t="str">
        <f>HYPERLINK("https://rmda.kulib.kyoto-u.ac.jp/item/rb00005276?page=341")</f>
        <v>https://rmda.kulib.kyoto-u.ac.jp/item/rb00005276?page=341</v>
      </c>
      <c r="E80" s="19">
        <v>118</v>
      </c>
      <c r="F80" s="19" t="str">
        <f>HYPERLINK("https://rmda.kulib.kyoto-u.ac.jp/item/rb00000349?page=118")</f>
        <v>https://rmda.kulib.kyoto-u.ac.jp/item/rb00000349?page=118</v>
      </c>
      <c r="G80" s="19"/>
    </row>
    <row r="81" spans="1:7" x14ac:dyDescent="0.15">
      <c r="A81" s="19" t="s">
        <v>8515</v>
      </c>
      <c r="B81" s="19" t="s">
        <v>8566</v>
      </c>
      <c r="C81" s="19">
        <v>343</v>
      </c>
      <c r="D81" s="19" t="str">
        <f>HYPERLINK("https://rmda.kulib.kyoto-u.ac.jp/item/rb00005276?page=343")</f>
        <v>https://rmda.kulib.kyoto-u.ac.jp/item/rb00005276?page=343</v>
      </c>
      <c r="E81" s="19">
        <v>119</v>
      </c>
      <c r="F81" s="19" t="str">
        <f>HYPERLINK("https://rmda.kulib.kyoto-u.ac.jp/item/rb00000349?page=119")</f>
        <v>https://rmda.kulib.kyoto-u.ac.jp/item/rb00000349?page=119</v>
      </c>
      <c r="G81" s="19"/>
    </row>
    <row r="82" spans="1:7" x14ac:dyDescent="0.15">
      <c r="A82" s="19" t="s">
        <v>8515</v>
      </c>
      <c r="B82" s="19" t="s">
        <v>8567</v>
      </c>
      <c r="C82" s="19">
        <v>346</v>
      </c>
      <c r="D82" s="19" t="str">
        <f>HYPERLINK("https://rmda.kulib.kyoto-u.ac.jp/item/rb00005276?page=346")</f>
        <v>https://rmda.kulib.kyoto-u.ac.jp/item/rb00005276?page=346</v>
      </c>
      <c r="E82" s="19">
        <v>120</v>
      </c>
      <c r="F82" s="19" t="str">
        <f>HYPERLINK("https://rmda.kulib.kyoto-u.ac.jp/item/rb00000349?page=120")</f>
        <v>https://rmda.kulib.kyoto-u.ac.jp/item/rb00000349?page=120</v>
      </c>
      <c r="G82" s="19"/>
    </row>
    <row r="83" spans="1:7" x14ac:dyDescent="0.15">
      <c r="A83" s="19" t="s">
        <v>8515</v>
      </c>
      <c r="B83" s="19" t="s">
        <v>8568</v>
      </c>
      <c r="C83" s="19">
        <v>348</v>
      </c>
      <c r="D83" s="19" t="str">
        <f>HYPERLINK("https://rmda.kulib.kyoto-u.ac.jp/item/rb00005276?page=348")</f>
        <v>https://rmda.kulib.kyoto-u.ac.jp/item/rb00005276?page=348</v>
      </c>
      <c r="E83" s="19">
        <v>120</v>
      </c>
      <c r="F83" s="19" t="str">
        <f>HYPERLINK("https://rmda.kulib.kyoto-u.ac.jp/item/rb00000349?page=120")</f>
        <v>https://rmda.kulib.kyoto-u.ac.jp/item/rb00000349?page=120</v>
      </c>
      <c r="G83" s="19"/>
    </row>
    <row r="84" spans="1:7" x14ac:dyDescent="0.15">
      <c r="A84" s="19" t="s">
        <v>8515</v>
      </c>
      <c r="B84" s="19" t="s">
        <v>8122</v>
      </c>
      <c r="C84" s="19">
        <v>350</v>
      </c>
      <c r="D84" s="19" t="str">
        <f>HYPERLINK("https://rmda.kulib.kyoto-u.ac.jp/item/rb00005276?page=350")</f>
        <v>https://rmda.kulib.kyoto-u.ac.jp/item/rb00005276?page=350</v>
      </c>
      <c r="E84" s="19">
        <v>121</v>
      </c>
      <c r="F84" s="19" t="str">
        <f>HYPERLINK("https://rmda.kulib.kyoto-u.ac.jp/item/rb00000349?page=121")</f>
        <v>https://rmda.kulib.kyoto-u.ac.jp/item/rb00000349?page=121</v>
      </c>
      <c r="G84" s="19"/>
    </row>
    <row r="85" spans="1:7" x14ac:dyDescent="0.15">
      <c r="A85" s="19" t="s">
        <v>8515</v>
      </c>
      <c r="B85" s="19" t="s">
        <v>7659</v>
      </c>
      <c r="C85" s="19">
        <v>358</v>
      </c>
      <c r="D85" s="19" t="str">
        <f>HYPERLINK("https://rmda.kulib.kyoto-u.ac.jp/item/rb00005276?page=358")</f>
        <v>https://rmda.kulib.kyoto-u.ac.jp/item/rb00005276?page=358</v>
      </c>
      <c r="E85" s="19">
        <v>121</v>
      </c>
      <c r="F85" s="19" t="str">
        <f>HYPERLINK("https://rmda.kulib.kyoto-u.ac.jp/item/rb00000349?page=121")</f>
        <v>https://rmda.kulib.kyoto-u.ac.jp/item/rb00000349?page=121</v>
      </c>
      <c r="G85" s="19"/>
    </row>
    <row r="86" spans="1:7" x14ac:dyDescent="0.15">
      <c r="A86" s="19" t="s">
        <v>8515</v>
      </c>
      <c r="B86" s="19" t="s">
        <v>7335</v>
      </c>
      <c r="C86" s="19">
        <v>358</v>
      </c>
      <c r="D86" s="19" t="str">
        <f>HYPERLINK("https://rmda.kulib.kyoto-u.ac.jp/item/rb00005276?page=358")</f>
        <v>https://rmda.kulib.kyoto-u.ac.jp/item/rb00005276?page=358</v>
      </c>
      <c r="E86" s="19">
        <v>121</v>
      </c>
      <c r="F86" s="19" t="str">
        <f>HYPERLINK("https://rmda.kulib.kyoto-u.ac.jp/item/rb00000349?page=121")</f>
        <v>https://rmda.kulib.kyoto-u.ac.jp/item/rb00000349?page=121</v>
      </c>
      <c r="G86" s="19"/>
    </row>
    <row r="87" spans="1:7" x14ac:dyDescent="0.15">
      <c r="A87" s="19" t="s">
        <v>8515</v>
      </c>
      <c r="B87" s="19" t="s">
        <v>7340</v>
      </c>
      <c r="C87" s="19">
        <v>360</v>
      </c>
      <c r="D87" s="19" t="str">
        <f>HYPERLINK("https://rmda.kulib.kyoto-u.ac.jp/item/rb00005276?page=360")</f>
        <v>https://rmda.kulib.kyoto-u.ac.jp/item/rb00005276?page=360</v>
      </c>
      <c r="E87" s="19">
        <v>122</v>
      </c>
      <c r="F87" s="19" t="str">
        <f>HYPERLINK("https://rmda.kulib.kyoto-u.ac.jp/item/rb00000349?page=122")</f>
        <v>https://rmda.kulib.kyoto-u.ac.jp/item/rb00000349?page=122</v>
      </c>
      <c r="G87" s="19"/>
    </row>
    <row r="88" spans="1:7" x14ac:dyDescent="0.15">
      <c r="A88" s="19" t="s">
        <v>8515</v>
      </c>
      <c r="B88" s="19" t="s">
        <v>8569</v>
      </c>
      <c r="C88" s="19">
        <v>361</v>
      </c>
      <c r="D88" s="19" t="str">
        <f>HYPERLINK("https://rmda.kulib.kyoto-u.ac.jp/item/rb00005276?page=361")</f>
        <v>https://rmda.kulib.kyoto-u.ac.jp/item/rb00005276?page=361</v>
      </c>
      <c r="E88" s="19">
        <v>122</v>
      </c>
      <c r="F88" s="19" t="str">
        <f>HYPERLINK("https://rmda.kulib.kyoto-u.ac.jp/item/rb00000349?page=122")</f>
        <v>https://rmda.kulib.kyoto-u.ac.jp/item/rb00000349?page=122</v>
      </c>
      <c r="G88" s="19"/>
    </row>
    <row r="89" spans="1:7" x14ac:dyDescent="0.15">
      <c r="A89" s="19" t="s">
        <v>8515</v>
      </c>
      <c r="B89" s="20" t="s">
        <v>8570</v>
      </c>
      <c r="C89" s="19">
        <v>369</v>
      </c>
      <c r="D89" s="19" t="str">
        <f>HYPERLINK("https://rmda.kulib.kyoto-u.ac.jp/item/rb00005276?page=369")</f>
        <v>https://rmda.kulib.kyoto-u.ac.jp/item/rb00005276?page=369</v>
      </c>
      <c r="E89" s="19"/>
      <c r="F89" s="19" t="s">
        <v>8531</v>
      </c>
      <c r="G89" s="19"/>
    </row>
    <row r="90" spans="1:7" x14ac:dyDescent="0.15">
      <c r="A90" s="19" t="s">
        <v>8515</v>
      </c>
      <c r="B90" s="19" t="s">
        <v>7461</v>
      </c>
      <c r="C90" s="19">
        <v>369</v>
      </c>
      <c r="D90" s="19" t="str">
        <f>HYPERLINK("https://rmda.kulib.kyoto-u.ac.jp/item/rb00005276?page=369")</f>
        <v>https://rmda.kulib.kyoto-u.ac.jp/item/rb00005276?page=369</v>
      </c>
      <c r="E90" s="19">
        <v>123</v>
      </c>
      <c r="F90" s="19" t="str">
        <f>HYPERLINK("https://rmda.kulib.kyoto-u.ac.jp/item/rb00000349?page=123")</f>
        <v>https://rmda.kulib.kyoto-u.ac.jp/item/rb00000349?page=123</v>
      </c>
      <c r="G90" s="19"/>
    </row>
    <row r="91" spans="1:7" x14ac:dyDescent="0.15">
      <c r="A91" s="19" t="s">
        <v>8515</v>
      </c>
      <c r="B91" s="19" t="s">
        <v>8571</v>
      </c>
      <c r="C91" s="19">
        <v>374</v>
      </c>
      <c r="D91" s="19" t="str">
        <f>HYPERLINK("https://rmda.kulib.kyoto-u.ac.jp/item/rb00005276?page=374")</f>
        <v>https://rmda.kulib.kyoto-u.ac.jp/item/rb00005276?page=374</v>
      </c>
      <c r="E91" s="19">
        <v>125</v>
      </c>
      <c r="F91" s="19" t="str">
        <f>HYPERLINK("https://rmda.kulib.kyoto-u.ac.jp/item/rb00000349?page=125")</f>
        <v>https://rmda.kulib.kyoto-u.ac.jp/item/rb00000349?page=125</v>
      </c>
      <c r="G91" s="19"/>
    </row>
    <row r="92" spans="1:7" x14ac:dyDescent="0.15">
      <c r="A92" s="19" t="s">
        <v>8515</v>
      </c>
      <c r="B92" s="19" t="s">
        <v>8572</v>
      </c>
      <c r="C92" s="19">
        <v>380</v>
      </c>
      <c r="D92" s="19" t="str">
        <f>HYPERLINK("https://rmda.kulib.kyoto-u.ac.jp/item/rb00005276?page=380")</f>
        <v>https://rmda.kulib.kyoto-u.ac.jp/item/rb00005276?page=380</v>
      </c>
      <c r="E92" s="19">
        <v>127</v>
      </c>
      <c r="F92" s="19" t="str">
        <f>HYPERLINK("https://rmda.kulib.kyoto-u.ac.jp/item/rb00000349?page=127")</f>
        <v>https://rmda.kulib.kyoto-u.ac.jp/item/rb00000349?page=127</v>
      </c>
      <c r="G92" s="19"/>
    </row>
    <row r="93" spans="1:7" x14ac:dyDescent="0.15">
      <c r="A93" s="19" t="s">
        <v>8515</v>
      </c>
      <c r="B93" s="19" t="s">
        <v>8573</v>
      </c>
      <c r="C93" s="19">
        <v>382</v>
      </c>
      <c r="D93" s="19" t="str">
        <f>HYPERLINK("https://rmda.kulib.kyoto-u.ac.jp/item/rb00005276?page=382")</f>
        <v>https://rmda.kulib.kyoto-u.ac.jp/item/rb00005276?page=382</v>
      </c>
      <c r="E93" s="19">
        <v>131</v>
      </c>
      <c r="F93" s="19" t="str">
        <f>HYPERLINK("https://rmda.kulib.kyoto-u.ac.jp/item/rb00000349?page=131")</f>
        <v>https://rmda.kulib.kyoto-u.ac.jp/item/rb00000349?page=131</v>
      </c>
      <c r="G93" s="19"/>
    </row>
    <row r="94" spans="1:7" x14ac:dyDescent="0.15">
      <c r="A94" s="19" t="s">
        <v>8515</v>
      </c>
      <c r="B94" s="19" t="s">
        <v>8574</v>
      </c>
      <c r="C94" s="19">
        <v>386</v>
      </c>
      <c r="D94" s="19" t="str">
        <f>HYPERLINK("https://rmda.kulib.kyoto-u.ac.jp/item/rb00005276?page=386")</f>
        <v>https://rmda.kulib.kyoto-u.ac.jp/item/rb00005276?page=386</v>
      </c>
      <c r="E94" s="19">
        <v>132</v>
      </c>
      <c r="F94" s="19" t="str">
        <f>HYPERLINK("https://rmda.kulib.kyoto-u.ac.jp/item/rb00000349?page=132")</f>
        <v>https://rmda.kulib.kyoto-u.ac.jp/item/rb00000349?page=132</v>
      </c>
      <c r="G94" s="19"/>
    </row>
    <row r="95" spans="1:7" x14ac:dyDescent="0.15">
      <c r="A95" s="19" t="s">
        <v>8515</v>
      </c>
      <c r="B95" s="19" t="s">
        <v>8575</v>
      </c>
      <c r="C95" s="19">
        <v>388</v>
      </c>
      <c r="D95" s="19" t="str">
        <f>HYPERLINK("https://rmda.kulib.kyoto-u.ac.jp/item/rb00005276?page=388")</f>
        <v>https://rmda.kulib.kyoto-u.ac.jp/item/rb00005276?page=388</v>
      </c>
      <c r="E95" s="19">
        <v>134</v>
      </c>
      <c r="F95" s="19" t="str">
        <f>HYPERLINK("https://rmda.kulib.kyoto-u.ac.jp/item/rb00000349?page=134")</f>
        <v>https://rmda.kulib.kyoto-u.ac.jp/item/rb00000349?page=134</v>
      </c>
      <c r="G95" s="19"/>
    </row>
    <row r="96" spans="1:7" x14ac:dyDescent="0.15">
      <c r="A96" s="19" t="s">
        <v>8515</v>
      </c>
      <c r="B96" s="19" t="s">
        <v>8576</v>
      </c>
      <c r="C96" s="19">
        <v>393</v>
      </c>
      <c r="D96" s="19" t="str">
        <f>HYPERLINK("https://rmda.kulib.kyoto-u.ac.jp/item/rb00005276?page=393")</f>
        <v>https://rmda.kulib.kyoto-u.ac.jp/item/rb00005276?page=393</v>
      </c>
      <c r="E96" s="19">
        <v>137</v>
      </c>
      <c r="F96" s="19" t="str">
        <f>HYPERLINK("https://rmda.kulib.kyoto-u.ac.jp/item/rb00000349?page=137")</f>
        <v>https://rmda.kulib.kyoto-u.ac.jp/item/rb00000349?page=137</v>
      </c>
      <c r="G96" s="19"/>
    </row>
    <row r="97" spans="1:7" x14ac:dyDescent="0.15">
      <c r="A97" s="19" t="s">
        <v>8515</v>
      </c>
      <c r="B97" s="19" t="s">
        <v>8577</v>
      </c>
      <c r="C97" s="19">
        <v>399</v>
      </c>
      <c r="D97" s="19" t="str">
        <f>HYPERLINK("https://rmda.kulib.kyoto-u.ac.jp/item/rb00005276?page=399")</f>
        <v>https://rmda.kulib.kyoto-u.ac.jp/item/rb00005276?page=399</v>
      </c>
      <c r="E97" s="19">
        <v>140</v>
      </c>
      <c r="F97" s="19" t="str">
        <f>HYPERLINK("https://rmda.kulib.kyoto-u.ac.jp/item/rb00000349?page=140")</f>
        <v>https://rmda.kulib.kyoto-u.ac.jp/item/rb00000349?page=140</v>
      </c>
      <c r="G97" s="19"/>
    </row>
    <row r="98" spans="1:7" x14ac:dyDescent="0.15">
      <c r="A98" s="19" t="s">
        <v>8515</v>
      </c>
      <c r="B98" s="19" t="s">
        <v>8578</v>
      </c>
      <c r="C98" s="19">
        <v>409</v>
      </c>
      <c r="D98" s="19" t="str">
        <f>HYPERLINK("https://rmda.kulib.kyoto-u.ac.jp/item/rb00005276?page=409")</f>
        <v>https://rmda.kulib.kyoto-u.ac.jp/item/rb00005276?page=409</v>
      </c>
      <c r="E98" s="19">
        <v>152</v>
      </c>
      <c r="F98" s="19" t="str">
        <f>HYPERLINK("https://rmda.kulib.kyoto-u.ac.jp/item/rb00000349?page=152")</f>
        <v>https://rmda.kulib.kyoto-u.ac.jp/item/rb00000349?page=152</v>
      </c>
      <c r="G98" s="19"/>
    </row>
    <row r="99" spans="1:7" x14ac:dyDescent="0.15">
      <c r="A99" s="19" t="s">
        <v>8515</v>
      </c>
      <c r="B99" s="19" t="s">
        <v>7699</v>
      </c>
      <c r="C99" s="19">
        <v>415</v>
      </c>
      <c r="D99" s="19" t="str">
        <f>HYPERLINK("https://rmda.kulib.kyoto-u.ac.jp/item/rb00005276?page=415")</f>
        <v>https://rmda.kulib.kyoto-u.ac.jp/item/rb00005276?page=415</v>
      </c>
      <c r="E99" s="19">
        <v>157</v>
      </c>
      <c r="F99" s="19" t="str">
        <f>HYPERLINK("https://rmda.kulib.kyoto-u.ac.jp/item/rb00000349?page=157")</f>
        <v>https://rmda.kulib.kyoto-u.ac.jp/item/rb00000349?page=157</v>
      </c>
      <c r="G99" s="19"/>
    </row>
    <row r="100" spans="1:7" x14ac:dyDescent="0.15">
      <c r="A100" s="19" t="s">
        <v>8515</v>
      </c>
      <c r="B100" s="19" t="s">
        <v>6357</v>
      </c>
      <c r="C100" s="19">
        <v>417</v>
      </c>
      <c r="D100" s="19" t="str">
        <f>HYPERLINK("https://rmda.kulib.kyoto-u.ac.jp/item/rb00005276?page=417")</f>
        <v>https://rmda.kulib.kyoto-u.ac.jp/item/rb00005276?page=417</v>
      </c>
      <c r="E100" s="19">
        <v>158</v>
      </c>
      <c r="F100" s="19" t="str">
        <f>HYPERLINK("https://rmda.kulib.kyoto-u.ac.jp/item/rb00000349?page=158")</f>
        <v>https://rmda.kulib.kyoto-u.ac.jp/item/rb00000349?page=158</v>
      </c>
      <c r="G100" s="19"/>
    </row>
    <row r="101" spans="1:7" x14ac:dyDescent="0.15">
      <c r="A101" s="19" t="s">
        <v>8515</v>
      </c>
      <c r="B101" s="19" t="s">
        <v>5778</v>
      </c>
      <c r="C101" s="19">
        <v>418</v>
      </c>
      <c r="D101" s="19" t="str">
        <f>HYPERLINK("https://rmda.kulib.kyoto-u.ac.jp/item/rb00005276?page=418")</f>
        <v>https://rmda.kulib.kyoto-u.ac.jp/item/rb00005276?page=418</v>
      </c>
      <c r="E101" s="19">
        <v>159</v>
      </c>
      <c r="F101" s="19" t="str">
        <f>HYPERLINK("https://rmda.kulib.kyoto-u.ac.jp/item/rb00000349?page=159")</f>
        <v>https://rmda.kulib.kyoto-u.ac.jp/item/rb00000349?page=159</v>
      </c>
      <c r="G101" s="19"/>
    </row>
    <row r="102" spans="1:7" x14ac:dyDescent="0.15">
      <c r="A102" s="19" t="s">
        <v>8515</v>
      </c>
      <c r="B102" s="19" t="s">
        <v>6373</v>
      </c>
      <c r="C102" s="19">
        <v>419</v>
      </c>
      <c r="D102" s="19" t="str">
        <f>HYPERLINK("https://rmda.kulib.kyoto-u.ac.jp/item/rb00005276?page=419")</f>
        <v>https://rmda.kulib.kyoto-u.ac.jp/item/rb00005276?page=419</v>
      </c>
      <c r="E102" s="19">
        <v>159</v>
      </c>
      <c r="F102" s="19" t="str">
        <f>HYPERLINK("https://rmda.kulib.kyoto-u.ac.jp/item/rb00000349?page=159")</f>
        <v>https://rmda.kulib.kyoto-u.ac.jp/item/rb00000349?page=159</v>
      </c>
      <c r="G102" s="19"/>
    </row>
    <row r="103" spans="1:7" x14ac:dyDescent="0.15">
      <c r="A103" s="19" t="s">
        <v>8515</v>
      </c>
      <c r="B103" s="19" t="s">
        <v>6353</v>
      </c>
      <c r="C103" s="19">
        <v>420</v>
      </c>
      <c r="D103" s="19" t="str">
        <f>HYPERLINK("https://rmda.kulib.kyoto-u.ac.jp/item/rb00005276?page=420")</f>
        <v>https://rmda.kulib.kyoto-u.ac.jp/item/rb00005276?page=420</v>
      </c>
      <c r="E103" s="19">
        <v>161</v>
      </c>
      <c r="F103" s="19" t="str">
        <f>HYPERLINK("https://rmda.kulib.kyoto-u.ac.jp/item/rb00000349?page=161")</f>
        <v>https://rmda.kulib.kyoto-u.ac.jp/item/rb00000349?page=161</v>
      </c>
      <c r="G103" s="19"/>
    </row>
    <row r="104" spans="1:7" x14ac:dyDescent="0.15">
      <c r="A104" s="19" t="s">
        <v>8515</v>
      </c>
      <c r="B104" s="19" t="s">
        <v>6056</v>
      </c>
      <c r="C104" s="19">
        <v>421</v>
      </c>
      <c r="D104" s="19" t="str">
        <f>HYPERLINK("https://rmda.kulib.kyoto-u.ac.jp/item/rb00005276?page=421")</f>
        <v>https://rmda.kulib.kyoto-u.ac.jp/item/rb00005276?page=421</v>
      </c>
      <c r="E104" s="19">
        <v>162</v>
      </c>
      <c r="F104" s="19" t="str">
        <f>HYPERLINK("https://rmda.kulib.kyoto-u.ac.jp/item/rb00000349?page=162")</f>
        <v>https://rmda.kulib.kyoto-u.ac.jp/item/rb00000349?page=162</v>
      </c>
      <c r="G104" s="19"/>
    </row>
    <row r="105" spans="1:7" x14ac:dyDescent="0.15">
      <c r="A105" s="19" t="s">
        <v>8515</v>
      </c>
      <c r="B105" s="19" t="s">
        <v>8579</v>
      </c>
      <c r="C105" s="19">
        <v>425</v>
      </c>
      <c r="D105" s="19" t="str">
        <f>HYPERLINK("https://rmda.kulib.kyoto-u.ac.jp/item/rb00005276?page=425")</f>
        <v>https://rmda.kulib.kyoto-u.ac.jp/item/rb00005276?page=425</v>
      </c>
      <c r="E105" s="19">
        <v>164</v>
      </c>
      <c r="F105" s="19" t="str">
        <f>HYPERLINK("https://rmda.kulib.kyoto-u.ac.jp/item/rb00000349?page=164")</f>
        <v>https://rmda.kulib.kyoto-u.ac.jp/item/rb00000349?page=164</v>
      </c>
      <c r="G105" s="19"/>
    </row>
    <row r="106" spans="1:7" x14ac:dyDescent="0.15">
      <c r="A106" s="19" t="s">
        <v>8515</v>
      </c>
      <c r="B106" s="20" t="s">
        <v>8580</v>
      </c>
      <c r="C106" s="19">
        <v>429</v>
      </c>
      <c r="D106" s="19" t="str">
        <f>HYPERLINK("https://rmda.kulib.kyoto-u.ac.jp/item/rb00005276?page=429")</f>
        <v>https://rmda.kulib.kyoto-u.ac.jp/item/rb00005276?page=429</v>
      </c>
      <c r="E106" s="19">
        <v>166</v>
      </c>
      <c r="F106" s="19" t="str">
        <f>HYPERLINK("https://rmda.kulib.kyoto-u.ac.jp/item/rb00000349?page=166")</f>
        <v>https://rmda.kulib.kyoto-u.ac.jp/item/rb00000349?page=166</v>
      </c>
      <c r="G106" s="20" t="s">
        <v>8581</v>
      </c>
    </row>
    <row r="107" spans="1:7" x14ac:dyDescent="0.15">
      <c r="A107" s="19" t="s">
        <v>8515</v>
      </c>
      <c r="B107" s="19" t="s">
        <v>7748</v>
      </c>
      <c r="C107" s="19">
        <v>432</v>
      </c>
      <c r="D107" s="19" t="str">
        <f>HYPERLINK("https://rmda.kulib.kyoto-u.ac.jp/item/rb00005276?page=432")</f>
        <v>https://rmda.kulib.kyoto-u.ac.jp/item/rb00005276?page=432</v>
      </c>
      <c r="E107" s="19">
        <v>168</v>
      </c>
      <c r="F107" s="19" t="str">
        <f>HYPERLINK("https://rmda.kulib.kyoto-u.ac.jp/item/rb00000349?page=168")</f>
        <v>https://rmda.kulib.kyoto-u.ac.jp/item/rb00000349?page=168</v>
      </c>
      <c r="G107" s="19"/>
    </row>
    <row r="108" spans="1:7" x14ac:dyDescent="0.15">
      <c r="A108" s="19" t="s">
        <v>8515</v>
      </c>
      <c r="B108" s="19" t="s">
        <v>8582</v>
      </c>
      <c r="C108" s="19">
        <v>434</v>
      </c>
      <c r="D108" s="19" t="str">
        <f>HYPERLINK("https://rmda.kulib.kyoto-u.ac.jp/item/rb00005276?page=434")</f>
        <v>https://rmda.kulib.kyoto-u.ac.jp/item/rb00005276?page=434</v>
      </c>
      <c r="E108" s="19">
        <v>169</v>
      </c>
      <c r="F108" s="19" t="str">
        <f>HYPERLINK("https://rmda.kulib.kyoto-u.ac.jp/item/rb00000349?page=169")</f>
        <v>https://rmda.kulib.kyoto-u.ac.jp/item/rb00000349?page=169</v>
      </c>
      <c r="G108" s="19"/>
    </row>
    <row r="109" spans="1:7" x14ac:dyDescent="0.15">
      <c r="A109" s="19" t="s">
        <v>8515</v>
      </c>
      <c r="B109" s="19" t="s">
        <v>8583</v>
      </c>
      <c r="C109" s="19">
        <v>436</v>
      </c>
      <c r="D109" s="19" t="str">
        <f>HYPERLINK("https://rmda.kulib.kyoto-u.ac.jp/item/rb00005276?page=436")</f>
        <v>https://rmda.kulib.kyoto-u.ac.jp/item/rb00005276?page=436</v>
      </c>
      <c r="E109" s="19">
        <v>170</v>
      </c>
      <c r="F109" s="19" t="str">
        <f>HYPERLINK("https://rmda.kulib.kyoto-u.ac.jp/item/rb00000349?page=170")</f>
        <v>https://rmda.kulib.kyoto-u.ac.jp/item/rb00000349?page=170</v>
      </c>
      <c r="G109" s="19"/>
    </row>
    <row r="110" spans="1:7" x14ac:dyDescent="0.15">
      <c r="A110" s="19" t="s">
        <v>8515</v>
      </c>
      <c r="B110" s="19" t="s">
        <v>6262</v>
      </c>
      <c r="C110" s="19">
        <v>437</v>
      </c>
      <c r="D110" s="19" t="str">
        <f>HYPERLINK("https://rmda.kulib.kyoto-u.ac.jp/item/rb00005276?page=437")</f>
        <v>https://rmda.kulib.kyoto-u.ac.jp/item/rb00005276?page=437</v>
      </c>
      <c r="E110" s="19">
        <v>170</v>
      </c>
      <c r="F110" s="19" t="str">
        <f>HYPERLINK("https://rmda.kulib.kyoto-u.ac.jp/item/rb00000349?page=170")</f>
        <v>https://rmda.kulib.kyoto-u.ac.jp/item/rb00000349?page=170</v>
      </c>
      <c r="G110" s="19"/>
    </row>
    <row r="111" spans="1:7" x14ac:dyDescent="0.15">
      <c r="A111" s="19" t="s">
        <v>8515</v>
      </c>
      <c r="B111" s="19" t="s">
        <v>8584</v>
      </c>
      <c r="C111" s="19">
        <v>442</v>
      </c>
      <c r="D111" s="19" t="str">
        <f>HYPERLINK("https://rmda.kulib.kyoto-u.ac.jp/item/rb00005276?page=442")</f>
        <v>https://rmda.kulib.kyoto-u.ac.jp/item/rb00005276?page=442</v>
      </c>
      <c r="E111" s="19">
        <v>175</v>
      </c>
      <c r="F111" s="19" t="str">
        <f>HYPERLINK("https://rmda.kulib.kyoto-u.ac.jp/item/rb00000349?page=175")</f>
        <v>https://rmda.kulib.kyoto-u.ac.jp/item/rb00000349?page=175</v>
      </c>
      <c r="G111" s="19"/>
    </row>
    <row r="112" spans="1:7" x14ac:dyDescent="0.15">
      <c r="A112" s="19" t="s">
        <v>8515</v>
      </c>
      <c r="B112" s="19" t="s">
        <v>8585</v>
      </c>
      <c r="C112" s="19">
        <v>449</v>
      </c>
      <c r="D112" s="19" t="str">
        <f>HYPERLINK("https://rmda.kulib.kyoto-u.ac.jp/item/rb00005276?page=449")</f>
        <v>https://rmda.kulib.kyoto-u.ac.jp/item/rb00005276?page=449</v>
      </c>
      <c r="E112" s="19">
        <v>177</v>
      </c>
      <c r="F112" s="19" t="str">
        <f>HYPERLINK("https://rmda.kulib.kyoto-u.ac.jp/item/rb00000349?page=177")</f>
        <v>https://rmda.kulib.kyoto-u.ac.jp/item/rb00000349?page=177</v>
      </c>
      <c r="G112" s="19"/>
    </row>
    <row r="113" spans="1:7" x14ac:dyDescent="0.15">
      <c r="A113" s="19" t="s">
        <v>8515</v>
      </c>
      <c r="B113" s="19" t="s">
        <v>8586</v>
      </c>
      <c r="C113" s="19">
        <v>455</v>
      </c>
      <c r="D113" s="19" t="str">
        <f>HYPERLINK("https://rmda.kulib.kyoto-u.ac.jp/item/rb00005276?page=455")</f>
        <v>https://rmda.kulib.kyoto-u.ac.jp/item/rb00005276?page=455</v>
      </c>
      <c r="E113" s="19">
        <v>179</v>
      </c>
      <c r="F113" s="19" t="str">
        <f>HYPERLINK("https://rmda.kulib.kyoto-u.ac.jp/item/rb00000349?page=179")</f>
        <v>https://rmda.kulib.kyoto-u.ac.jp/item/rb00000349?page=179</v>
      </c>
      <c r="G113" s="19"/>
    </row>
    <row r="114" spans="1:7" x14ac:dyDescent="0.15">
      <c r="A114" s="19" t="s">
        <v>8515</v>
      </c>
      <c r="B114" s="19" t="s">
        <v>6012</v>
      </c>
      <c r="C114" s="19">
        <v>457</v>
      </c>
      <c r="D114" s="19" t="str">
        <f>HYPERLINK("https://rmda.kulib.kyoto-u.ac.jp/item/rb00005276?page=457")</f>
        <v>https://rmda.kulib.kyoto-u.ac.jp/item/rb00005276?page=457</v>
      </c>
      <c r="E114" s="19">
        <v>183</v>
      </c>
      <c r="F114" s="19" t="str">
        <f>HYPERLINK("https://rmda.kulib.kyoto-u.ac.jp/item/rb00000349?page=183")</f>
        <v>https://rmda.kulib.kyoto-u.ac.jp/item/rb00000349?page=183</v>
      </c>
      <c r="G114" s="19"/>
    </row>
    <row r="115" spans="1:7" x14ac:dyDescent="0.15">
      <c r="A115" s="19" t="s">
        <v>8515</v>
      </c>
      <c r="B115" s="19" t="s">
        <v>8587</v>
      </c>
      <c r="C115" s="19">
        <v>460</v>
      </c>
      <c r="D115" s="19" t="str">
        <f>HYPERLINK("https://rmda.kulib.kyoto-u.ac.jp/item/rb00005276?page=460")</f>
        <v>https://rmda.kulib.kyoto-u.ac.jp/item/rb00005276?page=460</v>
      </c>
      <c r="E115" s="19">
        <v>182</v>
      </c>
      <c r="F115" s="19" t="str">
        <f>HYPERLINK("https://rmda.kulib.kyoto-u.ac.jp/item/rb00000349?page=182")</f>
        <v>https://rmda.kulib.kyoto-u.ac.jp/item/rb00000349?page=182</v>
      </c>
      <c r="G115" s="19"/>
    </row>
    <row r="116" spans="1:7" x14ac:dyDescent="0.15">
      <c r="A116" s="19" t="s">
        <v>8515</v>
      </c>
      <c r="B116" s="20" t="s">
        <v>8588</v>
      </c>
      <c r="C116" s="19">
        <v>466</v>
      </c>
      <c r="D116" s="19" t="str">
        <f>HYPERLINK("https://rmda.kulib.kyoto-u.ac.jp/item/rb00005276?page=466")</f>
        <v>https://rmda.kulib.kyoto-u.ac.jp/item/rb00005276?page=466</v>
      </c>
      <c r="E116" s="19"/>
      <c r="F116" s="19" t="s">
        <v>8531</v>
      </c>
      <c r="G116" s="19"/>
    </row>
    <row r="117" spans="1:7" x14ac:dyDescent="0.15">
      <c r="A117" s="19" t="s">
        <v>8515</v>
      </c>
      <c r="B117" s="19" t="s">
        <v>8589</v>
      </c>
      <c r="C117" s="19">
        <v>466</v>
      </c>
      <c r="D117" s="19" t="str">
        <f>HYPERLINK("https://rmda.kulib.kyoto-u.ac.jp/item/rb00005276?page=466")</f>
        <v>https://rmda.kulib.kyoto-u.ac.jp/item/rb00005276?page=466</v>
      </c>
      <c r="E117" s="19">
        <v>190</v>
      </c>
      <c r="F117" s="19" t="str">
        <f>HYPERLINK("https://rmda.kulib.kyoto-u.ac.jp/item/rb00000349?page=190")</f>
        <v>https://rmda.kulib.kyoto-u.ac.jp/item/rb00000349?page=190</v>
      </c>
      <c r="G117" s="19"/>
    </row>
    <row r="118" spans="1:7" x14ac:dyDescent="0.15">
      <c r="A118" s="19" t="s">
        <v>8515</v>
      </c>
      <c r="B118" s="19" t="s">
        <v>8590</v>
      </c>
      <c r="C118" s="19">
        <v>468</v>
      </c>
      <c r="D118" s="19" t="str">
        <f>HYPERLINK("https://rmda.kulib.kyoto-u.ac.jp/item/rb00005276?page=468")</f>
        <v>https://rmda.kulib.kyoto-u.ac.jp/item/rb00005276?page=468</v>
      </c>
      <c r="E118" s="19">
        <v>192</v>
      </c>
      <c r="F118" s="19" t="str">
        <f>HYPERLINK("https://rmda.kulib.kyoto-u.ac.jp/item/rb00000349?page=192")</f>
        <v>https://rmda.kulib.kyoto-u.ac.jp/item/rb00000349?page=192</v>
      </c>
      <c r="G118" s="17" t="s">
        <v>8591</v>
      </c>
    </row>
    <row r="119" spans="1:7" x14ac:dyDescent="0.15">
      <c r="A119" s="19" t="s">
        <v>8515</v>
      </c>
      <c r="B119" s="19" t="s">
        <v>7701</v>
      </c>
      <c r="C119" s="19">
        <v>474</v>
      </c>
      <c r="D119" s="19" t="str">
        <f>HYPERLINK("https://rmda.kulib.kyoto-u.ac.jp/item/rb00005276?page=474")</f>
        <v>https://rmda.kulib.kyoto-u.ac.jp/item/rb00005276?page=474</v>
      </c>
      <c r="E119" s="19">
        <v>193</v>
      </c>
      <c r="F119" s="19" t="str">
        <f>HYPERLINK("https://rmda.kulib.kyoto-u.ac.jp/item/rb00000349?page=193")</f>
        <v>https://rmda.kulib.kyoto-u.ac.jp/item/rb00000349?page=193</v>
      </c>
      <c r="G119" s="19"/>
    </row>
    <row r="120" spans="1:7" x14ac:dyDescent="0.15">
      <c r="A120" s="19" t="s">
        <v>8515</v>
      </c>
      <c r="B120" s="19" t="s">
        <v>7681</v>
      </c>
      <c r="C120" s="19">
        <v>478</v>
      </c>
      <c r="D120" s="19" t="str">
        <f>HYPERLINK("https://rmda.kulib.kyoto-u.ac.jp/item/rb00005276?page=478")</f>
        <v>https://rmda.kulib.kyoto-u.ac.jp/item/rb00005276?page=478</v>
      </c>
      <c r="E120" s="19">
        <v>194</v>
      </c>
      <c r="F120" s="19" t="str">
        <f>HYPERLINK("https://rmda.kulib.kyoto-u.ac.jp/item/rb00000349?page=194")</f>
        <v>https://rmda.kulib.kyoto-u.ac.jp/item/rb00000349?page=194</v>
      </c>
      <c r="G120" s="19"/>
    </row>
    <row r="121" spans="1:7" x14ac:dyDescent="0.15">
      <c r="A121" s="19" t="s">
        <v>8515</v>
      </c>
      <c r="B121" s="19" t="s">
        <v>7352</v>
      </c>
      <c r="C121" s="19">
        <v>481</v>
      </c>
      <c r="D121" s="19" t="str">
        <f>HYPERLINK("https://rmda.kulib.kyoto-u.ac.jp/item/rb00005276?page=481")</f>
        <v>https://rmda.kulib.kyoto-u.ac.jp/item/rb00005276?page=481</v>
      </c>
      <c r="E121" s="19">
        <v>195</v>
      </c>
      <c r="F121" s="19" t="str">
        <f>HYPERLINK("https://rmda.kulib.kyoto-u.ac.jp/item/rb00000349?page=195")</f>
        <v>https://rmda.kulib.kyoto-u.ac.jp/item/rb00000349?page=195</v>
      </c>
      <c r="G121" s="19"/>
    </row>
    <row r="122" spans="1:7" x14ac:dyDescent="0.15">
      <c r="A122" s="19" t="s">
        <v>8515</v>
      </c>
      <c r="B122" s="19" t="s">
        <v>8034</v>
      </c>
      <c r="C122" s="19">
        <v>485</v>
      </c>
      <c r="D122" s="19" t="str">
        <f>HYPERLINK("https://rmda.kulib.kyoto-u.ac.jp/item/rb00005276?page=485")</f>
        <v>https://rmda.kulib.kyoto-u.ac.jp/item/rb00005276?page=485</v>
      </c>
      <c r="E122" s="19">
        <v>196</v>
      </c>
      <c r="F122" s="19" t="str">
        <f>HYPERLINK("https://rmda.kulib.kyoto-u.ac.jp/item/rb00000349?page=196")</f>
        <v>https://rmda.kulib.kyoto-u.ac.jp/item/rb00000349?page=196</v>
      </c>
      <c r="G122" s="19"/>
    </row>
    <row r="123" spans="1:7" x14ac:dyDescent="0.15">
      <c r="A123" s="19" t="s">
        <v>8515</v>
      </c>
      <c r="B123" s="19" t="s">
        <v>8592</v>
      </c>
      <c r="C123" s="19">
        <v>488</v>
      </c>
      <c r="D123" s="19" t="str">
        <f>HYPERLINK("https://rmda.kulib.kyoto-u.ac.jp/item/rb00005276?page=488")</f>
        <v>https://rmda.kulib.kyoto-u.ac.jp/item/rb00005276?page=488</v>
      </c>
      <c r="E123" s="19">
        <v>198</v>
      </c>
      <c r="F123" s="19" t="str">
        <f>HYPERLINK("https://rmda.kulib.kyoto-u.ac.jp/item/rb00000349?page=198")</f>
        <v>https://rmda.kulib.kyoto-u.ac.jp/item/rb00000349?page=198</v>
      </c>
      <c r="G123" s="19"/>
    </row>
    <row r="124" spans="1:7" x14ac:dyDescent="0.15">
      <c r="A124" s="19" t="s">
        <v>8515</v>
      </c>
      <c r="B124" s="19" t="s">
        <v>6008</v>
      </c>
      <c r="C124" s="19">
        <v>497</v>
      </c>
      <c r="D124" s="19" t="str">
        <f>HYPERLINK("https://rmda.kulib.kyoto-u.ac.jp/item/rb00005276?page=497")</f>
        <v>https://rmda.kulib.kyoto-u.ac.jp/item/rb00005276?page=497</v>
      </c>
      <c r="E124" s="19">
        <v>200</v>
      </c>
      <c r="F124" s="19" t="str">
        <f>HYPERLINK("https://rmda.kulib.kyoto-u.ac.jp/item/rb00000349?page=200")</f>
        <v>https://rmda.kulib.kyoto-u.ac.jp/item/rb00000349?page=200</v>
      </c>
      <c r="G124" s="19"/>
    </row>
    <row r="125" spans="1:7" x14ac:dyDescent="0.15">
      <c r="A125" s="19" t="s">
        <v>8515</v>
      </c>
      <c r="B125" s="19" t="s">
        <v>8593</v>
      </c>
      <c r="C125" s="19">
        <v>503</v>
      </c>
      <c r="D125" s="19" t="str">
        <f>HYPERLINK("https://rmda.kulib.kyoto-u.ac.jp/item/rb00005276?page=503")</f>
        <v>https://rmda.kulib.kyoto-u.ac.jp/item/rb00005276?page=503</v>
      </c>
      <c r="E125" s="19"/>
      <c r="F125" s="19" t="s">
        <v>8531</v>
      </c>
      <c r="G125" s="19"/>
    </row>
    <row r="126" spans="1:7" x14ac:dyDescent="0.15">
      <c r="A126" s="19" t="s">
        <v>8515</v>
      </c>
      <c r="B126" s="19" t="s">
        <v>8251</v>
      </c>
      <c r="C126" s="19">
        <v>509</v>
      </c>
      <c r="D126" s="19" t="str">
        <f>HYPERLINK("https://rmda.kulib.kyoto-u.ac.jp/item/rb00005276?page=509")</f>
        <v>https://rmda.kulib.kyoto-u.ac.jp/item/rb00005276?page=509</v>
      </c>
      <c r="E126" s="19">
        <v>207</v>
      </c>
      <c r="F126" s="19" t="str">
        <f>HYPERLINK("https://rmda.kulib.kyoto-u.ac.jp/item/rb00000349?page=207")</f>
        <v>https://rmda.kulib.kyoto-u.ac.jp/item/rb00000349?page=207</v>
      </c>
      <c r="G126" s="19"/>
    </row>
    <row r="127" spans="1:7" x14ac:dyDescent="0.15">
      <c r="A127" s="19" t="s">
        <v>8515</v>
      </c>
      <c r="B127" s="19" t="s">
        <v>8594</v>
      </c>
      <c r="C127" s="19">
        <v>510</v>
      </c>
      <c r="D127" s="19" t="str">
        <f>HYPERLINK("https://rmda.kulib.kyoto-u.ac.jp/item/rb00005276?page=510")</f>
        <v>https://rmda.kulib.kyoto-u.ac.jp/item/rb00005276?page=510</v>
      </c>
      <c r="E127" s="19"/>
      <c r="F127" s="19" t="s">
        <v>8531</v>
      </c>
      <c r="G127" s="19"/>
    </row>
    <row r="128" spans="1:7" x14ac:dyDescent="0.15">
      <c r="A128" s="19" t="s">
        <v>8515</v>
      </c>
      <c r="B128" s="19" t="s">
        <v>8595</v>
      </c>
      <c r="C128" s="19">
        <v>522</v>
      </c>
      <c r="D128" s="19" t="str">
        <f>HYPERLINK("https://rmda.kulib.kyoto-u.ac.jp/item/rb00005276?page=522")</f>
        <v>https://rmda.kulib.kyoto-u.ac.jp/item/rb00005276?page=522</v>
      </c>
      <c r="E128" s="19">
        <v>208</v>
      </c>
      <c r="F128" s="19" t="str">
        <f>HYPERLINK("https://rmda.kulib.kyoto-u.ac.jp/item/rb00000349?page=208")</f>
        <v>https://rmda.kulib.kyoto-u.ac.jp/item/rb00000349?page=208</v>
      </c>
      <c r="G128" s="19"/>
    </row>
    <row r="129" spans="1:7" x14ac:dyDescent="0.15">
      <c r="A129" s="19" t="s">
        <v>8515</v>
      </c>
      <c r="B129" s="19" t="s">
        <v>6974</v>
      </c>
      <c r="C129" s="19">
        <v>524</v>
      </c>
      <c r="D129" s="19" t="str">
        <f>HYPERLINK("https://rmda.kulib.kyoto-u.ac.jp/item/rb00005276?page=524")</f>
        <v>https://rmda.kulib.kyoto-u.ac.jp/item/rb00005276?page=524</v>
      </c>
      <c r="E129" s="19"/>
      <c r="F129" s="19" t="s">
        <v>8531</v>
      </c>
      <c r="G129" s="19"/>
    </row>
    <row r="130" spans="1:7" x14ac:dyDescent="0.15">
      <c r="A130" s="19" t="s">
        <v>8515</v>
      </c>
      <c r="B130" s="19" t="s">
        <v>8596</v>
      </c>
      <c r="C130" s="19">
        <v>525</v>
      </c>
      <c r="D130" s="19" t="str">
        <f>HYPERLINK("https://rmda.kulib.kyoto-u.ac.jp/item/rb00005276?page=525")</f>
        <v>https://rmda.kulib.kyoto-u.ac.jp/item/rb00005276?page=525</v>
      </c>
      <c r="E130" s="19"/>
      <c r="F130" s="19" t="s">
        <v>8531</v>
      </c>
      <c r="G130" s="19"/>
    </row>
    <row r="131" spans="1:7" x14ac:dyDescent="0.15">
      <c r="A131" s="19" t="s">
        <v>8515</v>
      </c>
      <c r="B131" s="20" t="s">
        <v>8597</v>
      </c>
      <c r="C131" s="19">
        <v>532</v>
      </c>
      <c r="D131" s="19" t="str">
        <f>HYPERLINK("https://rmda.kulib.kyoto-u.ac.jp/item/rb00005276?page=532")</f>
        <v>https://rmda.kulib.kyoto-u.ac.jp/item/rb00005276?page=532</v>
      </c>
      <c r="E131" s="19"/>
      <c r="F131" s="19" t="s">
        <v>8531</v>
      </c>
      <c r="G131" s="19"/>
    </row>
    <row r="132" spans="1:7" x14ac:dyDescent="0.15">
      <c r="A132" s="19" t="s">
        <v>8515</v>
      </c>
      <c r="B132" s="19" t="s">
        <v>8598</v>
      </c>
      <c r="C132" s="19">
        <v>532</v>
      </c>
      <c r="D132" s="19" t="str">
        <f>HYPERLINK("https://rmda.kulib.kyoto-u.ac.jp/item/rb00005276?page=532")</f>
        <v>https://rmda.kulib.kyoto-u.ac.jp/item/rb00005276?page=532</v>
      </c>
      <c r="E132" s="19">
        <v>216</v>
      </c>
      <c r="F132" s="19" t="str">
        <f>HYPERLINK("https://rmda.kulib.kyoto-u.ac.jp/item/rb00000349?page=216")</f>
        <v>https://rmda.kulib.kyoto-u.ac.jp/item/rb00000349?page=216</v>
      </c>
      <c r="G132" s="19"/>
    </row>
    <row r="133" spans="1:7" x14ac:dyDescent="0.15">
      <c r="A133" s="19" t="s">
        <v>8515</v>
      </c>
      <c r="B133" s="19" t="s">
        <v>8599</v>
      </c>
      <c r="C133" s="19">
        <v>536</v>
      </c>
      <c r="D133" s="19" t="str">
        <f>HYPERLINK("https://rmda.kulib.kyoto-u.ac.jp/item/rb00005276?page=536")</f>
        <v>https://rmda.kulib.kyoto-u.ac.jp/item/rb00005276?page=536</v>
      </c>
      <c r="E133" s="19">
        <v>219</v>
      </c>
      <c r="F133" s="19" t="str">
        <f>HYPERLINK("https://rmda.kulib.kyoto-u.ac.jp/item/rb00000349?page=219")</f>
        <v>https://rmda.kulib.kyoto-u.ac.jp/item/rb00000349?page=219</v>
      </c>
      <c r="G133" s="19"/>
    </row>
    <row r="134" spans="1:7" x14ac:dyDescent="0.15">
      <c r="A134" s="19" t="s">
        <v>8515</v>
      </c>
      <c r="B134" s="19" t="s">
        <v>8600</v>
      </c>
      <c r="C134" s="19">
        <v>539</v>
      </c>
      <c r="D134" s="19" t="str">
        <f>HYPERLINK("https://rmda.kulib.kyoto-u.ac.jp/item/rb00005276?page=539")</f>
        <v>https://rmda.kulib.kyoto-u.ac.jp/item/rb00005276?page=539</v>
      </c>
      <c r="E134" s="19">
        <v>221</v>
      </c>
      <c r="F134" s="19" t="str">
        <f>HYPERLINK("https://rmda.kulib.kyoto-u.ac.jp/item/rb00000349?page=221")</f>
        <v>https://rmda.kulib.kyoto-u.ac.jp/item/rb00000349?page=221</v>
      </c>
      <c r="G134" s="19"/>
    </row>
    <row r="135" spans="1:7" x14ac:dyDescent="0.15">
      <c r="A135" s="19" t="s">
        <v>8515</v>
      </c>
      <c r="B135" s="19" t="s">
        <v>8601</v>
      </c>
      <c r="C135" s="19">
        <v>540</v>
      </c>
      <c r="D135" s="19" t="str">
        <f>HYPERLINK("https://rmda.kulib.kyoto-u.ac.jp/item/rb00005276?page=540")</f>
        <v>https://rmda.kulib.kyoto-u.ac.jp/item/rb00005276?page=540</v>
      </c>
      <c r="E135" s="19">
        <v>223</v>
      </c>
      <c r="F135" s="19" t="str">
        <f>HYPERLINK("https://rmda.kulib.kyoto-u.ac.jp/item/rb00000349?page=223")</f>
        <v>https://rmda.kulib.kyoto-u.ac.jp/item/rb00000349?page=223</v>
      </c>
      <c r="G135" s="17" t="s">
        <v>8602</v>
      </c>
    </row>
    <row r="136" spans="1:7" x14ac:dyDescent="0.15">
      <c r="A136" s="19" t="s">
        <v>8515</v>
      </c>
      <c r="B136" s="19" t="s">
        <v>8603</v>
      </c>
      <c r="C136" s="19">
        <v>541</v>
      </c>
      <c r="D136" s="19" t="str">
        <f>HYPERLINK("https://rmda.kulib.kyoto-u.ac.jp/item/rb00005276?page=541")</f>
        <v>https://rmda.kulib.kyoto-u.ac.jp/item/rb00005276?page=541</v>
      </c>
      <c r="E136" s="19">
        <v>223</v>
      </c>
      <c r="F136" s="19" t="str">
        <f>HYPERLINK("https://rmda.kulib.kyoto-u.ac.jp/item/rb00000349?page=223")</f>
        <v>https://rmda.kulib.kyoto-u.ac.jp/item/rb00000349?page=223</v>
      </c>
      <c r="G136" s="19"/>
    </row>
    <row r="137" spans="1:7" x14ac:dyDescent="0.15">
      <c r="A137" s="19" t="s">
        <v>8515</v>
      </c>
      <c r="B137" s="19" t="s">
        <v>7044</v>
      </c>
      <c r="C137" s="19">
        <v>544</v>
      </c>
      <c r="D137" s="19" t="str">
        <f>HYPERLINK("https://rmda.kulib.kyoto-u.ac.jp/item/rb00005276?page=544")</f>
        <v>https://rmda.kulib.kyoto-u.ac.jp/item/rb00005276?page=544</v>
      </c>
      <c r="E137" s="19">
        <v>227</v>
      </c>
      <c r="F137" s="19" t="str">
        <f>HYPERLINK("https://rmda.kulib.kyoto-u.ac.jp/item/rb00000349?page=227")</f>
        <v>https://rmda.kulib.kyoto-u.ac.jp/item/rb00000349?page=227</v>
      </c>
      <c r="G137" s="19"/>
    </row>
    <row r="138" spans="1:7" x14ac:dyDescent="0.15">
      <c r="A138" s="19" t="s">
        <v>8515</v>
      </c>
      <c r="B138" s="19" t="s">
        <v>8604</v>
      </c>
      <c r="C138" s="19">
        <v>548</v>
      </c>
      <c r="D138" s="19" t="str">
        <f>HYPERLINK("https://rmda.kulib.kyoto-u.ac.jp/item/rb00005276?page=548")</f>
        <v>https://rmda.kulib.kyoto-u.ac.jp/item/rb00005276?page=548</v>
      </c>
      <c r="E138" s="19">
        <v>228</v>
      </c>
      <c r="F138" s="19" t="str">
        <f>HYPERLINK("https://rmda.kulib.kyoto-u.ac.jp/item/rb00000349?page=228")</f>
        <v>https://rmda.kulib.kyoto-u.ac.jp/item/rb00000349?page=228</v>
      </c>
      <c r="G138" s="19"/>
    </row>
    <row r="139" spans="1:7" x14ac:dyDescent="0.15">
      <c r="A139" s="19" t="s">
        <v>8515</v>
      </c>
      <c r="B139" s="19" t="s">
        <v>7248</v>
      </c>
      <c r="C139" s="19">
        <v>550</v>
      </c>
      <c r="D139" s="19" t="str">
        <f>HYPERLINK("https://rmda.kulib.kyoto-u.ac.jp/item/rb00005276?page=550")</f>
        <v>https://rmda.kulib.kyoto-u.ac.jp/item/rb00005276?page=550</v>
      </c>
      <c r="E139" s="19">
        <v>232</v>
      </c>
      <c r="F139" s="19" t="str">
        <f>HYPERLINK("https://rmda.kulib.kyoto-u.ac.jp/item/rb00000349?page=232")</f>
        <v>https://rmda.kulib.kyoto-u.ac.jp/item/rb00000349?page=232</v>
      </c>
      <c r="G139" s="19"/>
    </row>
    <row r="140" spans="1:7" x14ac:dyDescent="0.15">
      <c r="A140" s="19" t="s">
        <v>8515</v>
      </c>
      <c r="B140" s="19" t="s">
        <v>8113</v>
      </c>
      <c r="C140" s="19">
        <v>551</v>
      </c>
      <c r="D140" s="19" t="str">
        <f>HYPERLINK("https://rmda.kulib.kyoto-u.ac.jp/item/rb00005276?page=551")</f>
        <v>https://rmda.kulib.kyoto-u.ac.jp/item/rb00005276?page=551</v>
      </c>
      <c r="E140" s="19">
        <v>232</v>
      </c>
      <c r="F140" s="19" t="str">
        <f>HYPERLINK("https://rmda.kulib.kyoto-u.ac.jp/item/rb00000349?page=232")</f>
        <v>https://rmda.kulib.kyoto-u.ac.jp/item/rb00000349?page=232</v>
      </c>
      <c r="G140" s="19"/>
    </row>
    <row r="141" spans="1:7" x14ac:dyDescent="0.15">
      <c r="A141" s="19" t="s">
        <v>8515</v>
      </c>
      <c r="B141" s="19" t="s">
        <v>8605</v>
      </c>
      <c r="C141" s="19">
        <v>552</v>
      </c>
      <c r="D141" s="19" t="str">
        <f>HYPERLINK("https://rmda.kulib.kyoto-u.ac.jp/item/rb00005276?page=552")</f>
        <v>https://rmda.kulib.kyoto-u.ac.jp/item/rb00005276?page=552</v>
      </c>
      <c r="E141" s="19">
        <v>233</v>
      </c>
      <c r="F141" s="19" t="str">
        <f>HYPERLINK("https://rmda.kulib.kyoto-u.ac.jp/item/rb00000349?page=233")</f>
        <v>https://rmda.kulib.kyoto-u.ac.jp/item/rb00000349?page=233</v>
      </c>
      <c r="G141" s="19"/>
    </row>
    <row r="142" spans="1:7" x14ac:dyDescent="0.15">
      <c r="A142" s="19" t="s">
        <v>8515</v>
      </c>
      <c r="B142" s="19" t="s">
        <v>7189</v>
      </c>
      <c r="C142" s="19">
        <v>553</v>
      </c>
      <c r="D142" s="19" t="str">
        <f>HYPERLINK("https://rmda.kulib.kyoto-u.ac.jp/item/rb00005276?page=553")</f>
        <v>https://rmda.kulib.kyoto-u.ac.jp/item/rb00005276?page=553</v>
      </c>
      <c r="E142" s="19">
        <v>233</v>
      </c>
      <c r="F142" s="19" t="str">
        <f>HYPERLINK("https://rmda.kulib.kyoto-u.ac.jp/item/rb00000349?page=233")</f>
        <v>https://rmda.kulib.kyoto-u.ac.jp/item/rb00000349?page=233</v>
      </c>
      <c r="G142" s="19"/>
    </row>
    <row r="143" spans="1:7" x14ac:dyDescent="0.15">
      <c r="A143" s="19" t="s">
        <v>8515</v>
      </c>
      <c r="B143" s="19" t="s">
        <v>8541</v>
      </c>
      <c r="C143" s="19">
        <v>554</v>
      </c>
      <c r="D143" s="19" t="str">
        <f>HYPERLINK("https://rmda.kulib.kyoto-u.ac.jp/item/rb00005276?page=554")</f>
        <v>https://rmda.kulib.kyoto-u.ac.jp/item/rb00005276?page=554</v>
      </c>
      <c r="E143" s="19">
        <v>225</v>
      </c>
      <c r="F143" s="19" t="str">
        <f>HYPERLINK("https://rmda.kulib.kyoto-u.ac.jp/item/rb00000349?page=225")</f>
        <v>https://rmda.kulib.kyoto-u.ac.jp/item/rb00000349?page=225</v>
      </c>
      <c r="G143" s="19"/>
    </row>
    <row r="144" spans="1:7" x14ac:dyDescent="0.15">
      <c r="A144" s="19" t="s">
        <v>8515</v>
      </c>
      <c r="B144" s="19" t="s">
        <v>7080</v>
      </c>
      <c r="C144" s="19">
        <v>555</v>
      </c>
      <c r="D144" s="19" t="str">
        <f>HYPERLINK("https://rmda.kulib.kyoto-u.ac.jp/item/rb00005276?page=555")</f>
        <v>https://rmda.kulib.kyoto-u.ac.jp/item/rb00005276?page=555</v>
      </c>
      <c r="E144" s="19">
        <v>226</v>
      </c>
      <c r="F144" s="19" t="str">
        <f>HYPERLINK("https://rmda.kulib.kyoto-u.ac.jp/item/rb00000349?page=226")</f>
        <v>https://rmda.kulib.kyoto-u.ac.jp/item/rb00000349?page=226</v>
      </c>
      <c r="G144" s="19"/>
    </row>
    <row r="145" spans="1:7" x14ac:dyDescent="0.15">
      <c r="A145" s="19" t="s">
        <v>8515</v>
      </c>
      <c r="B145" s="19" t="s">
        <v>8540</v>
      </c>
      <c r="C145" s="19">
        <v>557</v>
      </c>
      <c r="D145" s="19" t="str">
        <f>HYPERLINK("https://rmda.kulib.kyoto-u.ac.jp/item/rb00005276?page=557")</f>
        <v>https://rmda.kulib.kyoto-u.ac.jp/item/rb00005276?page=557</v>
      </c>
      <c r="E145" s="19">
        <v>227</v>
      </c>
      <c r="F145" s="19" t="str">
        <f>HYPERLINK("https://rmda.kulib.kyoto-u.ac.jp/item/rb00000349?page=227")</f>
        <v>https://rmda.kulib.kyoto-u.ac.jp/item/rb00000349?page=227</v>
      </c>
      <c r="G145" s="19"/>
    </row>
    <row r="146" spans="1:7" x14ac:dyDescent="0.15">
      <c r="A146" s="19" t="s">
        <v>8515</v>
      </c>
      <c r="B146" s="19" t="s">
        <v>8015</v>
      </c>
      <c r="C146" s="19">
        <v>559</v>
      </c>
      <c r="D146" s="19" t="str">
        <f>HYPERLINK("https://rmda.kulib.kyoto-u.ac.jp/item/rb00005276?page=559")</f>
        <v>https://rmda.kulib.kyoto-u.ac.jp/item/rb00005276?page=559</v>
      </c>
      <c r="E146" s="19">
        <v>227</v>
      </c>
      <c r="F146" s="19" t="str">
        <f>HYPERLINK("https://rmda.kulib.kyoto-u.ac.jp/item/rb00000349?page=227")</f>
        <v>https://rmda.kulib.kyoto-u.ac.jp/item/rb00000349?page=227</v>
      </c>
      <c r="G146" s="19"/>
    </row>
    <row r="147" spans="1:7" x14ac:dyDescent="0.15">
      <c r="A147" s="19" t="s">
        <v>8515</v>
      </c>
      <c r="B147" s="19" t="s">
        <v>7237</v>
      </c>
      <c r="C147" s="19">
        <v>561</v>
      </c>
      <c r="D147" s="19" t="str">
        <f>HYPERLINK("https://rmda.kulib.kyoto-u.ac.jp/item/rb00005276?page=561")</f>
        <v>https://rmda.kulib.kyoto-u.ac.jp/item/rb00005276?page=561</v>
      </c>
      <c r="E147" s="19">
        <v>233</v>
      </c>
      <c r="F147" s="19" t="str">
        <f>HYPERLINK("https://rmda.kulib.kyoto-u.ac.jp/item/rb00000349?page=233")</f>
        <v>https://rmda.kulib.kyoto-u.ac.jp/item/rb00000349?page=233</v>
      </c>
      <c r="G147" s="19"/>
    </row>
    <row r="148" spans="1:7" x14ac:dyDescent="0.15">
      <c r="A148" s="19" t="s">
        <v>8515</v>
      </c>
      <c r="B148" s="19" t="s">
        <v>6152</v>
      </c>
      <c r="C148" s="19">
        <v>562</v>
      </c>
      <c r="D148" s="19" t="str">
        <f>HYPERLINK("https://rmda.kulib.kyoto-u.ac.jp/item/rb00005276?page=562")</f>
        <v>https://rmda.kulib.kyoto-u.ac.jp/item/rb00005276?page=562</v>
      </c>
      <c r="E148" s="19">
        <v>234</v>
      </c>
      <c r="F148" s="19" t="str">
        <f>HYPERLINK("https://rmda.kulib.kyoto-u.ac.jp/item/rb00000349?page=234")</f>
        <v>https://rmda.kulib.kyoto-u.ac.jp/item/rb00000349?page=234</v>
      </c>
      <c r="G148" s="19"/>
    </row>
    <row r="149" spans="1:7" x14ac:dyDescent="0.15">
      <c r="A149" s="19" t="s">
        <v>8515</v>
      </c>
      <c r="B149" s="19" t="s">
        <v>8606</v>
      </c>
      <c r="C149" s="19">
        <v>563</v>
      </c>
      <c r="D149" s="19" t="str">
        <f>HYPERLINK("https://rmda.kulib.kyoto-u.ac.jp/item/rb00005276?page=563")</f>
        <v>https://rmda.kulib.kyoto-u.ac.jp/item/rb00005276?page=563</v>
      </c>
      <c r="E149" s="19">
        <v>234</v>
      </c>
      <c r="F149" s="19" t="str">
        <f>HYPERLINK("https://rmda.kulib.kyoto-u.ac.jp/item/rb00000349?page=234")</f>
        <v>https://rmda.kulib.kyoto-u.ac.jp/item/rb00000349?page=234</v>
      </c>
      <c r="G149" s="19"/>
    </row>
    <row r="150" spans="1:7" x14ac:dyDescent="0.15">
      <c r="A150" s="19" t="s">
        <v>8515</v>
      </c>
      <c r="B150" s="19" t="s">
        <v>8607</v>
      </c>
      <c r="C150" s="19">
        <v>565</v>
      </c>
      <c r="D150" s="19" t="str">
        <f>HYPERLINK("https://rmda.kulib.kyoto-u.ac.jp/item/rb00005276?page=565")</f>
        <v>https://rmda.kulib.kyoto-u.ac.jp/item/rb00005276?page=565</v>
      </c>
      <c r="E150" s="19">
        <v>237</v>
      </c>
      <c r="F150" s="19" t="str">
        <f>HYPERLINK("https://rmda.kulib.kyoto-u.ac.jp/item/rb00000349?page=237")</f>
        <v>https://rmda.kulib.kyoto-u.ac.jp/item/rb00000349?page=237</v>
      </c>
      <c r="G150" s="19"/>
    </row>
    <row r="151" spans="1:7" x14ac:dyDescent="0.15">
      <c r="A151" s="19" t="s">
        <v>8515</v>
      </c>
      <c r="B151" s="19" t="s">
        <v>7066</v>
      </c>
      <c r="C151" s="19">
        <v>585</v>
      </c>
      <c r="D151" s="19" t="str">
        <f>HYPERLINK("https://rmda.kulib.kyoto-u.ac.jp/item/rb00005276?page=585")</f>
        <v>https://rmda.kulib.kyoto-u.ac.jp/item/rb00005276?page=585</v>
      </c>
      <c r="E151" s="19">
        <v>245</v>
      </c>
      <c r="F151" s="19" t="str">
        <f>HYPERLINK("https://rmda.kulib.kyoto-u.ac.jp/item/rb00000349?page=245")</f>
        <v>https://rmda.kulib.kyoto-u.ac.jp/item/rb00000349?page=245</v>
      </c>
      <c r="G151" s="19"/>
    </row>
    <row r="152" spans="1:7" x14ac:dyDescent="0.15">
      <c r="A152" s="19" t="s">
        <v>8515</v>
      </c>
      <c r="B152" s="19" t="s">
        <v>8608</v>
      </c>
      <c r="C152" s="19">
        <v>595</v>
      </c>
      <c r="D152" s="19" t="str">
        <f>HYPERLINK("https://rmda.kulib.kyoto-u.ac.jp/item/rb00005276?page=595")</f>
        <v>https://rmda.kulib.kyoto-u.ac.jp/item/rb00005276?page=595</v>
      </c>
      <c r="E152" s="19">
        <v>248</v>
      </c>
      <c r="F152" s="18" t="str">
        <f>HYPERLINK("https://rmda.kulib.kyoto-u.ac.jp/item/rb00000349?page=248")</f>
        <v>https://rmda.kulib.kyoto-u.ac.jp/item/rb00000349?page=248</v>
      </c>
      <c r="G152" s="17" t="s">
        <v>8609</v>
      </c>
    </row>
    <row r="153" spans="1:7" x14ac:dyDescent="0.15">
      <c r="A153" s="19" t="s">
        <v>8515</v>
      </c>
      <c r="B153" s="19" t="s">
        <v>6540</v>
      </c>
      <c r="C153" s="19">
        <v>596</v>
      </c>
      <c r="D153" s="19" t="str">
        <f>HYPERLINK("https://rmda.kulib.kyoto-u.ac.jp/item/rb00005276?page=596")</f>
        <v>https://rmda.kulib.kyoto-u.ac.jp/item/rb00005276?page=596</v>
      </c>
      <c r="E153" s="19">
        <v>253</v>
      </c>
      <c r="F153" s="19" t="str">
        <f>HYPERLINK("https://rmda.kulib.kyoto-u.ac.jp/item/rb00000349?page=253")</f>
        <v>https://rmda.kulib.kyoto-u.ac.jp/item/rb00000349?page=253</v>
      </c>
      <c r="G153" s="17" t="s">
        <v>8610</v>
      </c>
    </row>
    <row r="154" spans="1:7" x14ac:dyDescent="0.15">
      <c r="A154" s="19" t="s">
        <v>8515</v>
      </c>
      <c r="B154" s="20" t="s">
        <v>8611</v>
      </c>
      <c r="C154" s="19">
        <v>602</v>
      </c>
      <c r="D154" s="19" t="str">
        <f>HYPERLINK("https://rmda.kulib.kyoto-u.ac.jp/item/rb00005276?page=602")</f>
        <v>https://rmda.kulib.kyoto-u.ac.jp/item/rb00005276?page=602</v>
      </c>
      <c r="E154" s="19"/>
      <c r="F154" s="21" t="s">
        <v>8612</v>
      </c>
      <c r="G154" s="19"/>
    </row>
    <row r="155" spans="1:7" x14ac:dyDescent="0.15">
      <c r="A155" s="19" t="s">
        <v>8515</v>
      </c>
      <c r="B155" s="19" t="s">
        <v>6564</v>
      </c>
      <c r="C155" s="19">
        <v>602</v>
      </c>
      <c r="D155" s="19" t="str">
        <f>HYPERLINK("https://rmda.kulib.kyoto-u.ac.jp/item/rb00005276?page=602")</f>
        <v>https://rmda.kulib.kyoto-u.ac.jp/item/rb00005276?page=602</v>
      </c>
      <c r="E155" s="19">
        <v>234</v>
      </c>
      <c r="F155" s="19" t="str">
        <f>HYPERLINK("https://rmda.kulib.kyoto-u.ac.jp/item/rb00000707?page=234")</f>
        <v>https://rmda.kulib.kyoto-u.ac.jp/item/rb00000707?page=234</v>
      </c>
      <c r="G155" s="19"/>
    </row>
    <row r="156" spans="1:7" x14ac:dyDescent="0.15">
      <c r="A156" s="19" t="s">
        <v>8515</v>
      </c>
      <c r="B156" s="19" t="s">
        <v>8613</v>
      </c>
      <c r="C156" s="19">
        <v>617</v>
      </c>
      <c r="D156" s="19" t="str">
        <f>HYPERLINK("https://rmda.kulib.kyoto-u.ac.jp/item/rb00005276?page=617")</f>
        <v>https://rmda.kulib.kyoto-u.ac.jp/item/rb00005276?page=617</v>
      </c>
      <c r="E156" s="19">
        <v>238</v>
      </c>
      <c r="F156" s="19" t="str">
        <f>HYPERLINK("https://rmda.kulib.kyoto-u.ac.jp/item/rb00000707?page=238")</f>
        <v>https://rmda.kulib.kyoto-u.ac.jp/item/rb00000707?page=238</v>
      </c>
      <c r="G156" s="19"/>
    </row>
    <row r="157" spans="1:7" x14ac:dyDescent="0.15">
      <c r="A157" s="19" t="s">
        <v>8515</v>
      </c>
      <c r="B157" s="19" t="s">
        <v>8614</v>
      </c>
      <c r="C157" s="19">
        <v>623</v>
      </c>
      <c r="D157" s="19" t="str">
        <f>HYPERLINK("https://rmda.kulib.kyoto-u.ac.jp/item/rb00005276?page=623")</f>
        <v>https://rmda.kulib.kyoto-u.ac.jp/item/rb00005276?page=623</v>
      </c>
      <c r="E157" s="19">
        <v>239</v>
      </c>
      <c r="F157" s="19" t="str">
        <f>HYPERLINK("https://rmda.kulib.kyoto-u.ac.jp/item/rb00000707?page=239")</f>
        <v>https://rmda.kulib.kyoto-u.ac.jp/item/rb00000707?page=239</v>
      </c>
      <c r="G157" s="19"/>
    </row>
    <row r="158" spans="1:7" x14ac:dyDescent="0.15">
      <c r="A158" s="19" t="s">
        <v>8515</v>
      </c>
      <c r="B158" s="19" t="s">
        <v>7039</v>
      </c>
      <c r="C158" s="19">
        <v>627</v>
      </c>
      <c r="D158" s="19" t="str">
        <f>HYPERLINK("https://rmda.kulib.kyoto-u.ac.jp/item/rb00005276?page=627")</f>
        <v>https://rmda.kulib.kyoto-u.ac.jp/item/rb00005276?page=627</v>
      </c>
      <c r="E158" s="19">
        <v>240</v>
      </c>
      <c r="F158" s="19" t="str">
        <f>HYPERLINK("https://rmda.kulib.kyoto-u.ac.jp/item/rb00000707?page=240")</f>
        <v>https://rmda.kulib.kyoto-u.ac.jp/item/rb00000707?page=240</v>
      </c>
      <c r="G158" s="19"/>
    </row>
    <row r="159" spans="1:7" x14ac:dyDescent="0.15">
      <c r="A159" s="19" t="s">
        <v>8515</v>
      </c>
      <c r="B159" s="19" t="s">
        <v>5773</v>
      </c>
      <c r="C159" s="19">
        <v>629</v>
      </c>
      <c r="D159" s="19" t="str">
        <f>HYPERLINK("https://rmda.kulib.kyoto-u.ac.jp/item/rb00005276?page=629")</f>
        <v>https://rmda.kulib.kyoto-u.ac.jp/item/rb00005276?page=629</v>
      </c>
      <c r="E159" s="19">
        <v>241</v>
      </c>
      <c r="F159" s="19" t="str">
        <f>HYPERLINK("https://rmda.kulib.kyoto-u.ac.jp/item/rb00000707?page=241")</f>
        <v>https://rmda.kulib.kyoto-u.ac.jp/item/rb00000707?page=241</v>
      </c>
      <c r="G159" s="19"/>
    </row>
    <row r="160" spans="1:7" x14ac:dyDescent="0.15">
      <c r="A160" s="19" t="s">
        <v>8515</v>
      </c>
      <c r="B160" s="19" t="s">
        <v>6567</v>
      </c>
      <c r="C160" s="19">
        <v>631</v>
      </c>
      <c r="D160" s="19" t="str">
        <f>HYPERLINK("https://rmda.kulib.kyoto-u.ac.jp/item/rb00005276?page=631")</f>
        <v>https://rmda.kulib.kyoto-u.ac.jp/item/rb00005276?page=631</v>
      </c>
      <c r="E160" s="19">
        <v>241</v>
      </c>
      <c r="F160" s="19" t="str">
        <f>HYPERLINK("https://rmda.kulib.kyoto-u.ac.jp/item/rb00000707?page=241")</f>
        <v>https://rmda.kulib.kyoto-u.ac.jp/item/rb00000707?page=241</v>
      </c>
      <c r="G160" s="19"/>
    </row>
    <row r="161" spans="1:7" x14ac:dyDescent="0.15">
      <c r="A161" s="19" t="s">
        <v>8515</v>
      </c>
      <c r="B161" s="20" t="s">
        <v>8615</v>
      </c>
      <c r="C161" s="19">
        <v>634</v>
      </c>
      <c r="D161" s="19" t="str">
        <f>HYPERLINK("https://rmda.kulib.kyoto-u.ac.jp/item/rb00005276?page=634")</f>
        <v>https://rmda.kulib.kyoto-u.ac.jp/item/rb00005276?page=634</v>
      </c>
      <c r="E161" s="19">
        <v>241</v>
      </c>
      <c r="F161" s="19" t="str">
        <f>HYPERLINK("https://rmda.kulib.kyoto-u.ac.jp/item/rb00000707?page=241")</f>
        <v>https://rmda.kulib.kyoto-u.ac.jp/item/rb00000707?page=241</v>
      </c>
      <c r="G161" s="19"/>
    </row>
    <row r="162" spans="1:7" x14ac:dyDescent="0.15">
      <c r="A162" s="19" t="s">
        <v>8515</v>
      </c>
      <c r="B162" s="19" t="s">
        <v>5712</v>
      </c>
      <c r="C162" s="19">
        <v>636</v>
      </c>
      <c r="D162" s="19" t="str">
        <f>HYPERLINK("https://rmda.kulib.kyoto-u.ac.jp/item/rb00005276?page=636")</f>
        <v>https://rmda.kulib.kyoto-u.ac.jp/item/rb00005276?page=636</v>
      </c>
      <c r="E162" s="19">
        <v>242</v>
      </c>
      <c r="F162" s="19" t="str">
        <f>HYPERLINK("https://rmda.kulib.kyoto-u.ac.jp/item/rb00000707?page=242")</f>
        <v>https://rmda.kulib.kyoto-u.ac.jp/item/rb00000707?page=242</v>
      </c>
      <c r="G162" s="19"/>
    </row>
    <row r="163" spans="1:7" x14ac:dyDescent="0.15">
      <c r="A163" s="19" t="s">
        <v>8515</v>
      </c>
      <c r="B163" s="19" t="s">
        <v>8616</v>
      </c>
      <c r="C163" s="19">
        <v>638</v>
      </c>
      <c r="D163" s="19" t="str">
        <f>HYPERLINK("https://rmda.kulib.kyoto-u.ac.jp/item/rb00005276?page=638")</f>
        <v>https://rmda.kulib.kyoto-u.ac.jp/item/rb00005276?page=638</v>
      </c>
      <c r="E163" s="19">
        <v>242</v>
      </c>
      <c r="F163" s="19" t="str">
        <f>HYPERLINK("https://rmda.kulib.kyoto-u.ac.jp/item/rb00000707?page=242")</f>
        <v>https://rmda.kulib.kyoto-u.ac.jp/item/rb00000707?page=242</v>
      </c>
      <c r="G163" s="19"/>
    </row>
    <row r="164" spans="1:7" x14ac:dyDescent="0.15">
      <c r="A164" s="19" t="s">
        <v>8515</v>
      </c>
      <c r="B164" s="19" t="s">
        <v>6306</v>
      </c>
      <c r="C164" s="19">
        <v>640</v>
      </c>
      <c r="D164" s="19" t="str">
        <f>HYPERLINK("https://rmda.kulib.kyoto-u.ac.jp/item/rb00005276?page=640")</f>
        <v>https://rmda.kulib.kyoto-u.ac.jp/item/rb00005276?page=640</v>
      </c>
      <c r="E164" s="19">
        <v>243</v>
      </c>
      <c r="F164" s="19" t="str">
        <f>HYPERLINK("https://rmda.kulib.kyoto-u.ac.jp/item/rb00000707?page=243")</f>
        <v>https://rmda.kulib.kyoto-u.ac.jp/item/rb00000707?page=243</v>
      </c>
      <c r="G164" s="19"/>
    </row>
    <row r="165" spans="1:7" x14ac:dyDescent="0.15">
      <c r="A165" s="19" t="s">
        <v>8515</v>
      </c>
      <c r="B165" s="19" t="s">
        <v>6294</v>
      </c>
      <c r="C165" s="19">
        <v>641</v>
      </c>
      <c r="D165" s="19" t="str">
        <f>HYPERLINK("https://rmda.kulib.kyoto-u.ac.jp/item/rb00005276?page=641")</f>
        <v>https://rmda.kulib.kyoto-u.ac.jp/item/rb00005276?page=641</v>
      </c>
      <c r="E165" s="19">
        <v>243</v>
      </c>
      <c r="F165" s="19" t="str">
        <f>HYPERLINK("https://rmda.kulib.kyoto-u.ac.jp/item/rb00000707?page=243")</f>
        <v>https://rmda.kulib.kyoto-u.ac.jp/item/rb00000707?page=243</v>
      </c>
      <c r="G165" s="19"/>
    </row>
    <row r="166" spans="1:7" x14ac:dyDescent="0.15">
      <c r="A166" s="19" t="s">
        <v>8515</v>
      </c>
      <c r="B166" s="19" t="s">
        <v>8617</v>
      </c>
      <c r="C166" s="19">
        <v>642</v>
      </c>
      <c r="D166" s="19" t="str">
        <f>HYPERLINK("https://rmda.kulib.kyoto-u.ac.jp/item/rb00005276?page=642")</f>
        <v>https://rmda.kulib.kyoto-u.ac.jp/item/rb00005276?page=642</v>
      </c>
      <c r="E166" s="19">
        <v>244</v>
      </c>
      <c r="F166" s="19" t="str">
        <f>HYPERLINK("https://rmda.kulib.kyoto-u.ac.jp/item/rb00000707?page=244")</f>
        <v>https://rmda.kulib.kyoto-u.ac.jp/item/rb00000707?page=244</v>
      </c>
      <c r="G166" s="19"/>
    </row>
    <row r="167" spans="1:7" x14ac:dyDescent="0.15">
      <c r="A167" s="19" t="s">
        <v>8515</v>
      </c>
      <c r="B167" s="19" t="s">
        <v>8618</v>
      </c>
      <c r="C167" s="19">
        <v>643</v>
      </c>
      <c r="D167" s="19" t="str">
        <f>HYPERLINK("https://rmda.kulib.kyoto-u.ac.jp/item/rb00005276?page=643")</f>
        <v>https://rmda.kulib.kyoto-u.ac.jp/item/rb00005276?page=643</v>
      </c>
      <c r="E167" s="19">
        <v>245</v>
      </c>
      <c r="F167" s="19" t="str">
        <f>HYPERLINK("https://rmda.kulib.kyoto-u.ac.jp/item/rb00000707?page=245")</f>
        <v>https://rmda.kulib.kyoto-u.ac.jp/item/rb00000707?page=245</v>
      </c>
      <c r="G167" s="17" t="s">
        <v>8619</v>
      </c>
    </row>
    <row r="168" spans="1:7" x14ac:dyDescent="0.15">
      <c r="A168" s="19" t="s">
        <v>8515</v>
      </c>
      <c r="B168" s="19" t="s">
        <v>8620</v>
      </c>
      <c r="C168" s="19">
        <v>645</v>
      </c>
      <c r="D168" s="19" t="str">
        <f>HYPERLINK("https://rmda.kulib.kyoto-u.ac.jp/item/rb00005276?page=645")</f>
        <v>https://rmda.kulib.kyoto-u.ac.jp/item/rb00005276?page=645</v>
      </c>
      <c r="E168" s="22"/>
      <c r="F168" s="22"/>
      <c r="G168" s="22"/>
    </row>
    <row r="169" spans="1:7" x14ac:dyDescent="0.15">
      <c r="A169" s="19" t="s">
        <v>8515</v>
      </c>
      <c r="B169" s="19" t="s">
        <v>8621</v>
      </c>
      <c r="C169" s="19">
        <v>648</v>
      </c>
      <c r="D169" s="19" t="str">
        <f>HYPERLINK("https://rmda.kulib.kyoto-u.ac.jp/item/rb00005276?page=648")</f>
        <v>https://rmda.kulib.kyoto-u.ac.jp/item/rb00005276?page=648</v>
      </c>
      <c r="E169" s="22"/>
      <c r="F169" s="22"/>
      <c r="G169" s="22"/>
    </row>
    <row r="170" spans="1:7" x14ac:dyDescent="0.15">
      <c r="A170" s="19" t="s">
        <v>8515</v>
      </c>
      <c r="B170" s="19" t="s">
        <v>8030</v>
      </c>
      <c r="C170" s="19">
        <v>651</v>
      </c>
      <c r="D170" s="19" t="str">
        <f>HYPERLINK("https://rmda.kulib.kyoto-u.ac.jp/item/rb00005276?page=651")</f>
        <v>https://rmda.kulib.kyoto-u.ac.jp/item/rb00005276?page=651</v>
      </c>
      <c r="E170" s="22"/>
      <c r="F170" s="22"/>
      <c r="G170" s="22"/>
    </row>
    <row r="171" spans="1:7" x14ac:dyDescent="0.15">
      <c r="A171" s="19" t="s">
        <v>8515</v>
      </c>
      <c r="B171" s="19" t="s">
        <v>6396</v>
      </c>
      <c r="C171" s="19">
        <v>652</v>
      </c>
      <c r="D171" s="19" t="str">
        <f>HYPERLINK("https://rmda.kulib.kyoto-u.ac.jp/item/rb00005276?page=652")</f>
        <v>https://rmda.kulib.kyoto-u.ac.jp/item/rb00005276?page=652</v>
      </c>
      <c r="E171" s="22"/>
      <c r="F171" s="22"/>
      <c r="G171" s="22"/>
    </row>
    <row r="172" spans="1:7" x14ac:dyDescent="0.15">
      <c r="A172" s="19" t="s">
        <v>8515</v>
      </c>
      <c r="B172" s="19" t="s">
        <v>8622</v>
      </c>
      <c r="C172" s="19">
        <v>654</v>
      </c>
      <c r="D172" s="19" t="str">
        <f>HYPERLINK("https://rmda.kulib.kyoto-u.ac.jp/item/rb00005276?page=654")</f>
        <v>https://rmda.kulib.kyoto-u.ac.jp/item/rb00005276?page=654</v>
      </c>
      <c r="E172" s="22"/>
      <c r="F172" s="22"/>
      <c r="G172" s="22"/>
    </row>
    <row r="173" spans="1:7" x14ac:dyDescent="0.15">
      <c r="A173" s="19" t="s">
        <v>8515</v>
      </c>
      <c r="B173" s="19" t="s">
        <v>8623</v>
      </c>
      <c r="C173" s="19">
        <v>656</v>
      </c>
      <c r="D173" s="19" t="str">
        <f>HYPERLINK("https://rmda.kulib.kyoto-u.ac.jp/item/rb00005276?page=656")</f>
        <v>https://rmda.kulib.kyoto-u.ac.jp/item/rb00005276?page=656</v>
      </c>
      <c r="E173" s="22"/>
      <c r="F173" s="22"/>
      <c r="G173" s="22"/>
    </row>
    <row r="174" spans="1:7" x14ac:dyDescent="0.15">
      <c r="A174" s="19" t="s">
        <v>8515</v>
      </c>
      <c r="B174" s="19" t="s">
        <v>7125</v>
      </c>
      <c r="C174" s="19">
        <v>658</v>
      </c>
      <c r="D174" s="19" t="str">
        <f>HYPERLINK("https://rmda.kulib.kyoto-u.ac.jp/item/rb00005276?page=658")</f>
        <v>https://rmda.kulib.kyoto-u.ac.jp/item/rb00005276?page=658</v>
      </c>
      <c r="E174" s="22"/>
      <c r="F174" s="22"/>
      <c r="G174" s="22"/>
    </row>
    <row r="175" spans="1:7" x14ac:dyDescent="0.15">
      <c r="A175" s="19" t="s">
        <v>8515</v>
      </c>
      <c r="B175" s="19" t="s">
        <v>7846</v>
      </c>
      <c r="C175" s="19">
        <v>660</v>
      </c>
      <c r="D175" s="19" t="str">
        <f>HYPERLINK("https://rmda.kulib.kyoto-u.ac.jp/item/rb00005276?page=660")</f>
        <v>https://rmda.kulib.kyoto-u.ac.jp/item/rb00005276?page=660</v>
      </c>
      <c r="E175" s="22"/>
      <c r="F175" s="22"/>
      <c r="G175" s="22"/>
    </row>
    <row r="176" spans="1:7" x14ac:dyDescent="0.15">
      <c r="A176" s="19" t="s">
        <v>8515</v>
      </c>
      <c r="B176" s="19" t="s">
        <v>8624</v>
      </c>
      <c r="C176" s="19">
        <v>661</v>
      </c>
      <c r="D176" s="19" t="str">
        <f>HYPERLINK("https://rmda.kulib.kyoto-u.ac.jp/item/rb00005276?page=661")</f>
        <v>https://rmda.kulib.kyoto-u.ac.jp/item/rb00005276?page=661</v>
      </c>
      <c r="E176" s="22"/>
      <c r="F176" s="22"/>
      <c r="G176" s="22"/>
    </row>
    <row r="177" spans="1:7" x14ac:dyDescent="0.15">
      <c r="A177" s="19" t="s">
        <v>8515</v>
      </c>
      <c r="B177" s="19" t="s">
        <v>8625</v>
      </c>
      <c r="C177" s="19">
        <v>664</v>
      </c>
      <c r="D177" s="19" t="str">
        <f>HYPERLINK("https://rmda.kulib.kyoto-u.ac.jp/item/rb00005276?page=664")</f>
        <v>https://rmda.kulib.kyoto-u.ac.jp/item/rb00005276?page=664</v>
      </c>
      <c r="E177" s="22"/>
      <c r="F177" s="22"/>
      <c r="G177" s="22"/>
    </row>
    <row r="178" spans="1:7" x14ac:dyDescent="0.15">
      <c r="A178" s="19" t="s">
        <v>8515</v>
      </c>
      <c r="B178" s="19" t="s">
        <v>8626</v>
      </c>
      <c r="C178" s="19">
        <v>665</v>
      </c>
      <c r="D178" s="19" t="str">
        <f>HYPERLINK("https://rmda.kulib.kyoto-u.ac.jp/item/rb00005276?page=665")</f>
        <v>https://rmda.kulib.kyoto-u.ac.jp/item/rb00005276?page=665</v>
      </c>
      <c r="E178" s="22"/>
      <c r="F178" s="22"/>
      <c r="G178" s="22"/>
    </row>
    <row r="179" spans="1:7" x14ac:dyDescent="0.15">
      <c r="A179" s="19" t="s">
        <v>8515</v>
      </c>
      <c r="B179" s="19" t="s">
        <v>8627</v>
      </c>
      <c r="C179" s="19">
        <v>669</v>
      </c>
      <c r="D179" s="19" t="str">
        <f>HYPERLINK("https://rmda.kulib.kyoto-u.ac.jp/item/rb00005276?page=669")</f>
        <v>https://rmda.kulib.kyoto-u.ac.jp/item/rb00005276?page=669</v>
      </c>
      <c r="E179" s="22"/>
      <c r="F179" s="22"/>
      <c r="G179" s="22"/>
    </row>
    <row r="180" spans="1:7" x14ac:dyDescent="0.15">
      <c r="A180" s="19" t="s">
        <v>8515</v>
      </c>
      <c r="B180" s="19" t="s">
        <v>8628</v>
      </c>
      <c r="C180" s="19">
        <v>677</v>
      </c>
      <c r="D180" s="19" t="str">
        <f>HYPERLINK("https://rmda.kulib.kyoto-u.ac.jp/item/rb00005276?page=677")</f>
        <v>https://rmda.kulib.kyoto-u.ac.jp/item/rb00005276?page=677</v>
      </c>
      <c r="E180" s="22"/>
      <c r="F180" s="22"/>
      <c r="G180" s="22"/>
    </row>
    <row r="181" spans="1:7" x14ac:dyDescent="0.15">
      <c r="A181" s="19" t="s">
        <v>8515</v>
      </c>
      <c r="B181" s="20" t="s">
        <v>8629</v>
      </c>
      <c r="C181" s="19" t="s">
        <v>8630</v>
      </c>
      <c r="D181" s="18" t="str">
        <f>HYPERLINK("https://www.digital.archives.go.jp/img/4427522/65")</f>
        <v>https://www.digital.archives.go.jp/img/4427522/65</v>
      </c>
      <c r="E181" s="22"/>
      <c r="F181" s="22"/>
      <c r="G181" s="22"/>
    </row>
    <row r="182" spans="1:7" x14ac:dyDescent="0.15">
      <c r="A182" s="19" t="s">
        <v>8515</v>
      </c>
      <c r="B182" s="19" t="s">
        <v>8631</v>
      </c>
      <c r="C182" s="19">
        <v>683</v>
      </c>
      <c r="D182" s="19" t="str">
        <f>HYPERLINK("https://rmda.kulib.kyoto-u.ac.jp/item/rb00005276?page=683")</f>
        <v>https://rmda.kulib.kyoto-u.ac.jp/item/rb00005276?page=683</v>
      </c>
      <c r="E182" s="22"/>
      <c r="F182" s="22"/>
      <c r="G182" s="22"/>
    </row>
    <row r="183" spans="1:7" ht="14.25" x14ac:dyDescent="0.15">
      <c r="A183" s="17" t="s">
        <v>8632</v>
      </c>
      <c r="B183" s="23" t="s">
        <v>8633</v>
      </c>
      <c r="C183" s="22"/>
      <c r="D183" s="17"/>
      <c r="E183" s="17"/>
      <c r="F183" s="22"/>
      <c r="G183" s="22"/>
    </row>
    <row r="184" spans="1:7" x14ac:dyDescent="0.15">
      <c r="A184" s="20" t="s">
        <v>8634</v>
      </c>
      <c r="B184" s="20" t="s">
        <v>8635</v>
      </c>
      <c r="C184" s="19"/>
      <c r="D184" s="19" t="s">
        <v>8531</v>
      </c>
      <c r="E184" s="19"/>
      <c r="F184" s="22"/>
      <c r="G184" s="22"/>
    </row>
    <row r="185" spans="1:7" x14ac:dyDescent="0.15">
      <c r="A185" s="20" t="s">
        <v>8634</v>
      </c>
      <c r="B185" s="19" t="s">
        <v>7114</v>
      </c>
      <c r="C185" s="19">
        <v>16</v>
      </c>
      <c r="D185" s="18" t="str">
        <f>HYPERLINK("https://rmda.kulib.kyoto-u.ac.jp/item/rb00000349?page=16")</f>
        <v>https://rmda.kulib.kyoto-u.ac.jp/item/rb00000349?page=16</v>
      </c>
      <c r="E185" s="19"/>
      <c r="F185" s="22"/>
      <c r="G185" s="22"/>
    </row>
    <row r="186" spans="1:7" x14ac:dyDescent="0.15">
      <c r="A186" s="20" t="s">
        <v>8634</v>
      </c>
      <c r="B186" s="19" t="s">
        <v>8532</v>
      </c>
      <c r="C186" s="19">
        <v>22</v>
      </c>
      <c r="D186" s="19" t="str">
        <f>HYPERLINK("https://rmda.kulib.kyoto-u.ac.jp/item/rb00000349?page=22")</f>
        <v>https://rmda.kulib.kyoto-u.ac.jp/item/rb00000349?page=22</v>
      </c>
      <c r="E186" s="19"/>
      <c r="F186" s="22"/>
      <c r="G186" s="22"/>
    </row>
    <row r="187" spans="1:7" x14ac:dyDescent="0.15">
      <c r="A187" s="20" t="s">
        <v>8634</v>
      </c>
      <c r="B187" s="19" t="s">
        <v>6016</v>
      </c>
      <c r="C187" s="19">
        <v>23</v>
      </c>
      <c r="D187" s="19" t="str">
        <f>HYPERLINK("https://rmda.kulib.kyoto-u.ac.jp/item/rb00000349?page=23")</f>
        <v>https://rmda.kulib.kyoto-u.ac.jp/item/rb00000349?page=23</v>
      </c>
      <c r="E187" s="19"/>
      <c r="F187" s="22"/>
      <c r="G187" s="22"/>
    </row>
    <row r="188" spans="1:7" x14ac:dyDescent="0.15">
      <c r="A188" s="20" t="s">
        <v>8636</v>
      </c>
      <c r="B188" s="19" t="s">
        <v>7118</v>
      </c>
      <c r="C188" s="19">
        <v>31</v>
      </c>
      <c r="D188" s="19" t="str">
        <f>HYPERLINK("https://rmda.kulib.kyoto-u.ac.jp/item/rb00000349?page=31")</f>
        <v>https://rmda.kulib.kyoto-u.ac.jp/item/rb00000349?page=31</v>
      </c>
      <c r="E188" s="19"/>
      <c r="F188" s="22"/>
      <c r="G188" s="22"/>
    </row>
    <row r="189" spans="1:7" x14ac:dyDescent="0.15">
      <c r="A189" s="20" t="s">
        <v>8636</v>
      </c>
      <c r="B189" s="19" t="s">
        <v>5638</v>
      </c>
      <c r="C189" s="19">
        <v>32</v>
      </c>
      <c r="D189" s="19" t="str">
        <f>HYPERLINK("https://rmda.kulib.kyoto-u.ac.jp/item/rb00000349?page=32")</f>
        <v>https://rmda.kulib.kyoto-u.ac.jp/item/rb00000349?page=32</v>
      </c>
      <c r="E189" s="19"/>
      <c r="F189" s="22"/>
      <c r="G189" s="22"/>
    </row>
    <row r="190" spans="1:7" x14ac:dyDescent="0.15">
      <c r="A190" s="20" t="s">
        <v>8634</v>
      </c>
      <c r="B190" s="19" t="s">
        <v>8534</v>
      </c>
      <c r="C190" s="19">
        <v>32</v>
      </c>
      <c r="D190" s="19" t="str">
        <f>HYPERLINK("https://rmda.kulib.kyoto-u.ac.jp/item/rb00000349?page=32")</f>
        <v>https://rmda.kulib.kyoto-u.ac.jp/item/rb00000349?page=32</v>
      </c>
      <c r="E190" s="19"/>
      <c r="F190" s="22"/>
      <c r="G190" s="22"/>
    </row>
    <row r="191" spans="1:7" x14ac:dyDescent="0.15">
      <c r="A191" s="20" t="s">
        <v>8634</v>
      </c>
      <c r="B191" s="19" t="s">
        <v>7124</v>
      </c>
      <c r="C191" s="19">
        <v>33</v>
      </c>
      <c r="D191" s="19" t="str">
        <f>HYPERLINK("https://rmda.kulib.kyoto-u.ac.jp/item/rb00000349?page=33")</f>
        <v>https://rmda.kulib.kyoto-u.ac.jp/item/rb00000349?page=33</v>
      </c>
      <c r="E191" s="19"/>
      <c r="F191" s="22"/>
      <c r="G191" s="22"/>
    </row>
    <row r="192" spans="1:7" x14ac:dyDescent="0.15">
      <c r="A192" s="20" t="s">
        <v>8634</v>
      </c>
      <c r="B192" s="19" t="s">
        <v>8535</v>
      </c>
      <c r="C192" s="19">
        <v>36</v>
      </c>
      <c r="D192" s="19" t="str">
        <f>HYPERLINK("https://rmda.kulib.kyoto-u.ac.jp/item/rb00000349?page=36")</f>
        <v>https://rmda.kulib.kyoto-u.ac.jp/item/rb00000349?page=36</v>
      </c>
      <c r="E192" s="19"/>
      <c r="F192" s="22"/>
      <c r="G192" s="22"/>
    </row>
    <row r="193" spans="1:7" x14ac:dyDescent="0.15">
      <c r="A193" s="20" t="s">
        <v>8634</v>
      </c>
      <c r="B193" s="19" t="s">
        <v>7474</v>
      </c>
      <c r="C193" s="19">
        <v>46</v>
      </c>
      <c r="D193" s="19" t="str">
        <f>HYPERLINK("https://rmda.kulib.kyoto-u.ac.jp/item/rb00000349?page=46")</f>
        <v>https://rmda.kulib.kyoto-u.ac.jp/item/rb00000349?page=46</v>
      </c>
      <c r="E193" s="19"/>
      <c r="F193" s="22"/>
      <c r="G193" s="22"/>
    </row>
    <row r="194" spans="1:7" x14ac:dyDescent="0.15">
      <c r="A194" s="20" t="s">
        <v>8634</v>
      </c>
      <c r="B194" s="19" t="s">
        <v>8536</v>
      </c>
      <c r="C194" s="19">
        <v>54</v>
      </c>
      <c r="D194" s="19" t="str">
        <f>HYPERLINK("https://rmda.kulib.kyoto-u.ac.jp/item/rb00000349?page=54")</f>
        <v>https://rmda.kulib.kyoto-u.ac.jp/item/rb00000349?page=54</v>
      </c>
      <c r="E194" s="19"/>
      <c r="F194" s="22"/>
      <c r="G194" s="22"/>
    </row>
    <row r="195" spans="1:7" x14ac:dyDescent="0.15">
      <c r="A195" s="20" t="s">
        <v>8634</v>
      </c>
      <c r="B195" s="19" t="s">
        <v>8537</v>
      </c>
      <c r="C195" s="19">
        <v>56</v>
      </c>
      <c r="D195" s="19" t="str">
        <f>HYPERLINK("https://rmda.kulib.kyoto-u.ac.jp/item/rb00000349?page=56")</f>
        <v>https://rmda.kulib.kyoto-u.ac.jp/item/rb00000349?page=56</v>
      </c>
      <c r="E195" s="19"/>
      <c r="F195" s="22"/>
      <c r="G195" s="22"/>
    </row>
    <row r="196" spans="1:7" x14ac:dyDescent="0.15">
      <c r="A196" s="20" t="s">
        <v>8634</v>
      </c>
      <c r="B196" s="19" t="s">
        <v>7317</v>
      </c>
      <c r="C196" s="19">
        <v>57</v>
      </c>
      <c r="D196" s="19" t="str">
        <f>HYPERLINK("https://rmda.kulib.kyoto-u.ac.jp/item/rb00000349?page=57")</f>
        <v>https://rmda.kulib.kyoto-u.ac.jp/item/rb00000349?page=57</v>
      </c>
      <c r="E196" s="19"/>
      <c r="F196" s="22"/>
      <c r="G196" s="22"/>
    </row>
    <row r="197" spans="1:7" x14ac:dyDescent="0.15">
      <c r="A197" s="20" t="s">
        <v>8634</v>
      </c>
      <c r="B197" s="19" t="s">
        <v>7237</v>
      </c>
      <c r="C197" s="19">
        <v>59</v>
      </c>
      <c r="D197" s="19" t="str">
        <f>HYPERLINK("https://rmda.kulib.kyoto-u.ac.jp/item/rb00000349?page=59")</f>
        <v>https://rmda.kulib.kyoto-u.ac.jp/item/rb00000349?page=59</v>
      </c>
      <c r="E197" s="19"/>
      <c r="F197" s="22"/>
      <c r="G197" s="22"/>
    </row>
    <row r="198" spans="1:7" x14ac:dyDescent="0.15">
      <c r="A198" s="20" t="s">
        <v>8634</v>
      </c>
      <c r="B198" s="19" t="s">
        <v>8637</v>
      </c>
      <c r="C198" s="19">
        <v>62</v>
      </c>
      <c r="D198" s="19" t="str">
        <f>HYPERLINK("https://rmda.kulib.kyoto-u.ac.jp/item/rb00000349?page=62")</f>
        <v>https://rmda.kulib.kyoto-u.ac.jp/item/rb00000349?page=62</v>
      </c>
      <c r="E198" s="19"/>
      <c r="F198" s="22"/>
      <c r="G198" s="22"/>
    </row>
    <row r="199" spans="1:7" x14ac:dyDescent="0.15">
      <c r="A199" s="20" t="s">
        <v>8634</v>
      </c>
      <c r="B199" s="20" t="s">
        <v>8638</v>
      </c>
      <c r="C199" s="19"/>
      <c r="D199" s="19" t="s">
        <v>8531</v>
      </c>
      <c r="E199" s="19"/>
      <c r="F199" s="22"/>
      <c r="G199" s="22"/>
    </row>
    <row r="200" spans="1:7" x14ac:dyDescent="0.15">
      <c r="A200" s="20" t="s">
        <v>8634</v>
      </c>
      <c r="B200" s="19" t="s">
        <v>8015</v>
      </c>
      <c r="C200" s="19">
        <v>69</v>
      </c>
      <c r="D200" s="19" t="str">
        <f>HYPERLINK("https://rmda.kulib.kyoto-u.ac.jp/item/rb00000349?page=69")</f>
        <v>https://rmda.kulib.kyoto-u.ac.jp/item/rb00000349?page=69</v>
      </c>
      <c r="E200" s="19"/>
      <c r="F200" s="22"/>
      <c r="G200" s="22"/>
    </row>
    <row r="201" spans="1:7" x14ac:dyDescent="0.15">
      <c r="A201" s="20" t="s">
        <v>8634</v>
      </c>
      <c r="B201" s="19" t="s">
        <v>8540</v>
      </c>
      <c r="C201" s="19">
        <v>72</v>
      </c>
      <c r="D201" s="19" t="str">
        <f>HYPERLINK("https://rmda.kulib.kyoto-u.ac.jp/item/rb00000349?page=72")</f>
        <v>https://rmda.kulib.kyoto-u.ac.jp/item/rb00000349?page=72</v>
      </c>
      <c r="E201" s="19"/>
      <c r="F201" s="22"/>
      <c r="G201" s="22"/>
    </row>
    <row r="202" spans="1:7" x14ac:dyDescent="0.15">
      <c r="A202" s="20" t="s">
        <v>8634</v>
      </c>
      <c r="B202" s="19" t="s">
        <v>8541</v>
      </c>
      <c r="C202" s="19">
        <v>73</v>
      </c>
      <c r="D202" s="19" t="str">
        <f>HYPERLINK("https://rmda.kulib.kyoto-u.ac.jp/item/rb00000349?page=73")</f>
        <v>https://rmda.kulib.kyoto-u.ac.jp/item/rb00000349?page=73</v>
      </c>
      <c r="E202" s="19"/>
      <c r="F202" s="22"/>
      <c r="G202" s="22"/>
    </row>
    <row r="203" spans="1:7" x14ac:dyDescent="0.15">
      <c r="A203" s="20" t="s">
        <v>8634</v>
      </c>
      <c r="B203" s="19" t="s">
        <v>5678</v>
      </c>
      <c r="C203" s="19">
        <v>74</v>
      </c>
      <c r="D203" s="19" t="str">
        <f>HYPERLINK("https://rmda.kulib.kyoto-u.ac.jp/item/rb00000349?page=74")</f>
        <v>https://rmda.kulib.kyoto-u.ac.jp/item/rb00000349?page=74</v>
      </c>
      <c r="E203" s="19"/>
      <c r="F203" s="22"/>
      <c r="G203" s="22"/>
    </row>
    <row r="204" spans="1:7" x14ac:dyDescent="0.15">
      <c r="A204" s="20" t="s">
        <v>8634</v>
      </c>
      <c r="B204" s="19" t="s">
        <v>7189</v>
      </c>
      <c r="C204" s="19">
        <v>75</v>
      </c>
      <c r="D204" s="19" t="str">
        <f>HYPERLINK("https://rmda.kulib.kyoto-u.ac.jp/item/rb00000349?page=75")</f>
        <v>https://rmda.kulib.kyoto-u.ac.jp/item/rb00000349?page=75</v>
      </c>
      <c r="E204" s="19"/>
      <c r="F204" s="22"/>
      <c r="G204" s="22"/>
    </row>
    <row r="205" spans="1:7" x14ac:dyDescent="0.15">
      <c r="A205" s="20" t="s">
        <v>8634</v>
      </c>
      <c r="B205" s="19" t="s">
        <v>8542</v>
      </c>
      <c r="C205" s="19">
        <v>76</v>
      </c>
      <c r="D205" s="19" t="str">
        <f>HYPERLINK("https://rmda.kulib.kyoto-u.ac.jp/item/rb00000349?page=76")</f>
        <v>https://rmda.kulib.kyoto-u.ac.jp/item/rb00000349?page=76</v>
      </c>
      <c r="E205" s="19"/>
      <c r="F205" s="22"/>
      <c r="G205" s="22"/>
    </row>
    <row r="206" spans="1:7" x14ac:dyDescent="0.15">
      <c r="A206" s="20" t="s">
        <v>8634</v>
      </c>
      <c r="B206" s="19" t="s">
        <v>8543</v>
      </c>
      <c r="C206" s="19">
        <v>76</v>
      </c>
      <c r="D206" s="19" t="str">
        <f>HYPERLINK("https://rmda.kulib.kyoto-u.ac.jp/item/rb00000349?page=76")</f>
        <v>https://rmda.kulib.kyoto-u.ac.jp/item/rb00000349?page=76</v>
      </c>
      <c r="E206" s="19"/>
      <c r="F206" s="22"/>
      <c r="G206" s="22"/>
    </row>
    <row r="207" spans="1:7" x14ac:dyDescent="0.15">
      <c r="A207" s="20" t="s">
        <v>8634</v>
      </c>
      <c r="B207" s="19" t="s">
        <v>8544</v>
      </c>
      <c r="C207" s="19">
        <v>77</v>
      </c>
      <c r="D207" s="19" t="str">
        <f>HYPERLINK("https://rmda.kulib.kyoto-u.ac.jp/item/rb00000349?page=77")</f>
        <v>https://rmda.kulib.kyoto-u.ac.jp/item/rb00000349?page=77</v>
      </c>
      <c r="E207" s="19"/>
      <c r="F207" s="22"/>
      <c r="G207" s="22"/>
    </row>
    <row r="208" spans="1:7" x14ac:dyDescent="0.15">
      <c r="A208" s="20" t="s">
        <v>8634</v>
      </c>
      <c r="B208" s="19" t="s">
        <v>8545</v>
      </c>
      <c r="C208" s="19">
        <v>78</v>
      </c>
      <c r="D208" s="19" t="str">
        <f>HYPERLINK("https://rmda.kulib.kyoto-u.ac.jp/item/rb00000349?page=78")</f>
        <v>https://rmda.kulib.kyoto-u.ac.jp/item/rb00000349?page=78</v>
      </c>
      <c r="E208" s="19"/>
      <c r="F208" s="22"/>
      <c r="G208" s="22"/>
    </row>
    <row r="209" spans="1:7" x14ac:dyDescent="0.15">
      <c r="A209" s="20" t="s">
        <v>8634</v>
      </c>
      <c r="B209" s="19" t="s">
        <v>8546</v>
      </c>
      <c r="C209" s="19">
        <v>77</v>
      </c>
      <c r="D209" s="19" t="str">
        <f>HYPERLINK("https://rmda.kulib.kyoto-u.ac.jp/item/rb00000349?page=77")</f>
        <v>https://rmda.kulib.kyoto-u.ac.jp/item/rb00000349?page=77</v>
      </c>
      <c r="E209" s="19"/>
      <c r="F209" s="22"/>
      <c r="G209" s="22"/>
    </row>
    <row r="210" spans="1:7" x14ac:dyDescent="0.15">
      <c r="A210" s="20" t="s">
        <v>8634</v>
      </c>
      <c r="B210" s="19" t="s">
        <v>8547</v>
      </c>
      <c r="C210" s="19">
        <v>79</v>
      </c>
      <c r="D210" s="19" t="str">
        <f>HYPERLINK("https://rmda.kulib.kyoto-u.ac.jp/item/rb00000349?page=79")</f>
        <v>https://rmda.kulib.kyoto-u.ac.jp/item/rb00000349?page=79</v>
      </c>
      <c r="E210" s="19"/>
      <c r="F210" s="22"/>
      <c r="G210" s="22"/>
    </row>
    <row r="211" spans="1:7" x14ac:dyDescent="0.15">
      <c r="A211" s="20" t="s">
        <v>8634</v>
      </c>
      <c r="B211" s="19" t="s">
        <v>8548</v>
      </c>
      <c r="C211" s="19">
        <v>80</v>
      </c>
      <c r="D211" s="19" t="str">
        <f>HYPERLINK("https://rmda.kulib.kyoto-u.ac.jp/item/rb00000349?page=80")</f>
        <v>https://rmda.kulib.kyoto-u.ac.jp/item/rb00000349?page=80</v>
      </c>
      <c r="E211" s="19"/>
      <c r="F211" s="22"/>
      <c r="G211" s="22"/>
    </row>
    <row r="212" spans="1:7" x14ac:dyDescent="0.15">
      <c r="A212" s="20" t="s">
        <v>8634</v>
      </c>
      <c r="B212" s="19" t="s">
        <v>5940</v>
      </c>
      <c r="C212" s="19">
        <v>81</v>
      </c>
      <c r="D212" s="19" t="str">
        <f>HYPERLINK("https://rmda.kulib.kyoto-u.ac.jp/item/rb00000349?page=81")</f>
        <v>https://rmda.kulib.kyoto-u.ac.jp/item/rb00000349?page=81</v>
      </c>
      <c r="E212" s="19"/>
      <c r="F212" s="22"/>
      <c r="G212" s="22"/>
    </row>
    <row r="213" spans="1:7" x14ac:dyDescent="0.15">
      <c r="A213" s="20" t="s">
        <v>8634</v>
      </c>
      <c r="B213" s="19" t="s">
        <v>8483</v>
      </c>
      <c r="C213" s="19">
        <v>83</v>
      </c>
      <c r="D213" s="19" t="str">
        <f>HYPERLINK("https://rmda.kulib.kyoto-u.ac.jp/item/rb00000349?page=83")</f>
        <v>https://rmda.kulib.kyoto-u.ac.jp/item/rb00000349?page=83</v>
      </c>
      <c r="E213" s="19"/>
      <c r="F213" s="22"/>
      <c r="G213" s="22"/>
    </row>
    <row r="214" spans="1:7" x14ac:dyDescent="0.15">
      <c r="A214" s="20" t="s">
        <v>8634</v>
      </c>
      <c r="B214" s="19" t="s">
        <v>8213</v>
      </c>
      <c r="C214" s="19">
        <v>84</v>
      </c>
      <c r="D214" s="19" t="str">
        <f>HYPERLINK("https://rmda.kulib.kyoto-u.ac.jp/item/rb00000349?page=84")</f>
        <v>https://rmda.kulib.kyoto-u.ac.jp/item/rb00000349?page=84</v>
      </c>
      <c r="E214" s="19"/>
      <c r="F214" s="22"/>
      <c r="G214" s="22"/>
    </row>
    <row r="215" spans="1:7" x14ac:dyDescent="0.15">
      <c r="A215" s="20" t="s">
        <v>8634</v>
      </c>
      <c r="B215" s="19" t="s">
        <v>8549</v>
      </c>
      <c r="C215" s="19">
        <v>85</v>
      </c>
      <c r="D215" s="19" t="str">
        <f>HYPERLINK("https://rmda.kulib.kyoto-u.ac.jp/item/rb00000349?page=85")</f>
        <v>https://rmda.kulib.kyoto-u.ac.jp/item/rb00000349?page=85</v>
      </c>
      <c r="E215" s="19"/>
      <c r="F215" s="22"/>
      <c r="G215" s="22"/>
    </row>
    <row r="216" spans="1:7" x14ac:dyDescent="0.15">
      <c r="A216" s="20" t="s">
        <v>8634</v>
      </c>
      <c r="B216" s="19" t="s">
        <v>8639</v>
      </c>
      <c r="C216" s="19">
        <v>87</v>
      </c>
      <c r="D216" s="19" t="str">
        <f>HYPERLINK("https://rmda.kulib.kyoto-u.ac.jp/item/rb00000349?page=87")</f>
        <v>https://rmda.kulib.kyoto-u.ac.jp/item/rb00000349?page=87</v>
      </c>
      <c r="E216" s="19"/>
      <c r="F216" s="22"/>
      <c r="G216" s="22"/>
    </row>
    <row r="217" spans="1:7" x14ac:dyDescent="0.15">
      <c r="A217" s="20" t="s">
        <v>8634</v>
      </c>
      <c r="B217" s="19" t="s">
        <v>8550</v>
      </c>
      <c r="C217" s="19">
        <v>87</v>
      </c>
      <c r="D217" s="19" t="str">
        <f>HYPERLINK("https://rmda.kulib.kyoto-u.ac.jp/item/rb00000349?page=87")</f>
        <v>https://rmda.kulib.kyoto-u.ac.jp/item/rb00000349?page=87</v>
      </c>
      <c r="E217" s="19"/>
      <c r="F217" s="22"/>
      <c r="G217" s="22"/>
    </row>
    <row r="218" spans="1:7" x14ac:dyDescent="0.15">
      <c r="A218" s="20" t="s">
        <v>8634</v>
      </c>
      <c r="B218" s="19" t="s">
        <v>6945</v>
      </c>
      <c r="C218" s="19">
        <v>88</v>
      </c>
      <c r="D218" s="19" t="str">
        <f>HYPERLINK("https://rmda.kulib.kyoto-u.ac.jp/item/rb00000349?page=88")</f>
        <v>https://rmda.kulib.kyoto-u.ac.jp/item/rb00000349?page=88</v>
      </c>
      <c r="E218" s="19"/>
      <c r="F218" s="22"/>
      <c r="G218" s="22"/>
    </row>
    <row r="219" spans="1:7" x14ac:dyDescent="0.15">
      <c r="A219" s="20" t="s">
        <v>8634</v>
      </c>
      <c r="B219" s="19" t="s">
        <v>8552</v>
      </c>
      <c r="C219" s="19">
        <v>89</v>
      </c>
      <c r="D219" s="19" t="str">
        <f>HYPERLINK("https://rmda.kulib.kyoto-u.ac.jp/item/rb00000349?page=89")</f>
        <v>https://rmda.kulib.kyoto-u.ac.jp/item/rb00000349?page=89</v>
      </c>
      <c r="E219" s="19"/>
      <c r="F219" s="22"/>
      <c r="G219" s="22"/>
    </row>
    <row r="220" spans="1:7" x14ac:dyDescent="0.15">
      <c r="A220" s="20" t="s">
        <v>8634</v>
      </c>
      <c r="B220" s="19" t="s">
        <v>8554</v>
      </c>
      <c r="C220" s="19">
        <v>91</v>
      </c>
      <c r="D220" s="19" t="str">
        <f>HYPERLINK("https://rmda.kulib.kyoto-u.ac.jp/item/rb00000349?page=91")</f>
        <v>https://rmda.kulib.kyoto-u.ac.jp/item/rb00000349?page=91</v>
      </c>
      <c r="E220" s="19"/>
      <c r="F220" s="22"/>
      <c r="G220" s="22"/>
    </row>
    <row r="221" spans="1:7" x14ac:dyDescent="0.15">
      <c r="A221" s="20" t="s">
        <v>8634</v>
      </c>
      <c r="B221" s="24" t="s">
        <v>8555</v>
      </c>
      <c r="C221" s="19">
        <v>91</v>
      </c>
      <c r="D221" s="19" t="str">
        <f>HYPERLINK("https://rmda.kulib.kyoto-u.ac.jp/item/rb00000349?page=91")</f>
        <v>https://rmda.kulib.kyoto-u.ac.jp/item/rb00000349?page=91</v>
      </c>
      <c r="E221" s="19"/>
      <c r="F221" s="22"/>
      <c r="G221" s="22"/>
    </row>
    <row r="222" spans="1:7" x14ac:dyDescent="0.15">
      <c r="A222" s="20" t="s">
        <v>8634</v>
      </c>
      <c r="B222" s="19" t="s">
        <v>8034</v>
      </c>
      <c r="C222" s="19">
        <v>92</v>
      </c>
      <c r="D222" s="19" t="str">
        <f>HYPERLINK("https://rmda.kulib.kyoto-u.ac.jp/item/rb00000349?page=92")</f>
        <v>https://rmda.kulib.kyoto-u.ac.jp/item/rb00000349?page=92</v>
      </c>
      <c r="E222" s="19"/>
      <c r="F222" s="22"/>
      <c r="G222" s="22"/>
    </row>
    <row r="223" spans="1:7" x14ac:dyDescent="0.15">
      <c r="A223" s="20" t="s">
        <v>8634</v>
      </c>
      <c r="B223" s="19" t="s">
        <v>8556</v>
      </c>
      <c r="C223" s="19">
        <v>95</v>
      </c>
      <c r="D223" s="19" t="str">
        <f>HYPERLINK("https://rmda.kulib.kyoto-u.ac.jp/item/rb00000349?page=95")</f>
        <v>https://rmda.kulib.kyoto-u.ac.jp/item/rb00000349?page=95</v>
      </c>
      <c r="E223" s="19"/>
      <c r="F223" s="22"/>
      <c r="G223" s="22"/>
    </row>
    <row r="224" spans="1:7" x14ac:dyDescent="0.15">
      <c r="A224" s="20" t="s">
        <v>8634</v>
      </c>
      <c r="B224" s="19" t="s">
        <v>8558</v>
      </c>
      <c r="C224" s="19">
        <v>97</v>
      </c>
      <c r="D224" s="19" t="str">
        <f>HYPERLINK("https://rmda.kulib.kyoto-u.ac.jp/item/rb00000349?page=97")</f>
        <v>https://rmda.kulib.kyoto-u.ac.jp/item/rb00000349?page=97</v>
      </c>
      <c r="E224" s="19"/>
      <c r="F224" s="22"/>
      <c r="G224" s="22"/>
    </row>
    <row r="225" spans="1:7" x14ac:dyDescent="0.15">
      <c r="A225" s="20" t="s">
        <v>8634</v>
      </c>
      <c r="B225" s="19" t="s">
        <v>8559</v>
      </c>
      <c r="C225" s="19">
        <v>98</v>
      </c>
      <c r="D225" s="19" t="str">
        <f>HYPERLINK("https://rmda.kulib.kyoto-u.ac.jp/item/rb00000349?page=98")</f>
        <v>https://rmda.kulib.kyoto-u.ac.jp/item/rb00000349?page=98</v>
      </c>
      <c r="E225" s="19"/>
      <c r="F225" s="22"/>
      <c r="G225" s="22"/>
    </row>
    <row r="226" spans="1:7" x14ac:dyDescent="0.15">
      <c r="A226" s="20" t="s">
        <v>8634</v>
      </c>
      <c r="B226" s="19" t="s">
        <v>7653</v>
      </c>
      <c r="C226" s="19">
        <v>100</v>
      </c>
      <c r="D226" s="19" t="str">
        <f>HYPERLINK("https://rmda.kulib.kyoto-u.ac.jp/item/rb00000349?page=100")</f>
        <v>https://rmda.kulib.kyoto-u.ac.jp/item/rb00000349?page=100</v>
      </c>
      <c r="E226" s="19"/>
      <c r="F226" s="22"/>
      <c r="G226" s="22"/>
    </row>
    <row r="227" spans="1:7" x14ac:dyDescent="0.15">
      <c r="A227" s="20" t="s">
        <v>8634</v>
      </c>
      <c r="B227" s="19" t="s">
        <v>6536</v>
      </c>
      <c r="C227" s="19">
        <v>102</v>
      </c>
      <c r="D227" s="19" t="str">
        <f>HYPERLINK("https://rmda.kulib.kyoto-u.ac.jp/item/rb00000349?page=102")</f>
        <v>https://rmda.kulib.kyoto-u.ac.jp/item/rb00000349?page=102</v>
      </c>
      <c r="E227" s="19"/>
      <c r="F227" s="22"/>
      <c r="G227" s="22"/>
    </row>
    <row r="228" spans="1:7" x14ac:dyDescent="0.15">
      <c r="A228" s="20" t="s">
        <v>8634</v>
      </c>
      <c r="B228" s="19" t="s">
        <v>8560</v>
      </c>
      <c r="C228" s="19">
        <v>102</v>
      </c>
      <c r="D228" s="19" t="str">
        <f>HYPERLINK("https://rmda.kulib.kyoto-u.ac.jp/item/rb00000349?page=102")</f>
        <v>https://rmda.kulib.kyoto-u.ac.jp/item/rb00000349?page=102</v>
      </c>
      <c r="E228" s="19"/>
      <c r="F228" s="22"/>
      <c r="G228" s="22"/>
    </row>
    <row r="229" spans="1:7" x14ac:dyDescent="0.15">
      <c r="A229" s="20" t="s">
        <v>8634</v>
      </c>
      <c r="B229" s="19" t="s">
        <v>8561</v>
      </c>
      <c r="C229" s="19">
        <v>105</v>
      </c>
      <c r="D229" s="19" t="str">
        <f>HYPERLINK("https://rmda.kulib.kyoto-u.ac.jp/item/rb00000349?page=105")</f>
        <v>https://rmda.kulib.kyoto-u.ac.jp/item/rb00000349?page=105</v>
      </c>
      <c r="E229" s="19"/>
      <c r="F229" s="22"/>
      <c r="G229" s="22"/>
    </row>
    <row r="230" spans="1:7" x14ac:dyDescent="0.15">
      <c r="A230" s="20" t="s">
        <v>8634</v>
      </c>
      <c r="B230" s="19" t="s">
        <v>7679</v>
      </c>
      <c r="C230" s="19">
        <v>105</v>
      </c>
      <c r="D230" s="19" t="str">
        <f>HYPERLINK("https://rmda.kulib.kyoto-u.ac.jp/item/rb00000349?page=105")</f>
        <v>https://rmda.kulib.kyoto-u.ac.jp/item/rb00000349?page=105</v>
      </c>
      <c r="E230" s="19"/>
      <c r="F230" s="22"/>
      <c r="G230" s="22"/>
    </row>
    <row r="231" spans="1:7" x14ac:dyDescent="0.15">
      <c r="A231" s="20" t="s">
        <v>8634</v>
      </c>
      <c r="B231" s="19" t="s">
        <v>8562</v>
      </c>
      <c r="C231" s="19">
        <v>106</v>
      </c>
      <c r="D231" s="19" t="str">
        <f>HYPERLINK("https://rmda.kulib.kyoto-u.ac.jp/item/rb00000349?page=106")</f>
        <v>https://rmda.kulib.kyoto-u.ac.jp/item/rb00000349?page=106</v>
      </c>
      <c r="E231" s="19"/>
      <c r="F231" s="22"/>
      <c r="G231" s="22"/>
    </row>
    <row r="232" spans="1:7" x14ac:dyDescent="0.15">
      <c r="A232" s="20" t="s">
        <v>8634</v>
      </c>
      <c r="B232" s="19" t="s">
        <v>8023</v>
      </c>
      <c r="C232" s="19">
        <v>107</v>
      </c>
      <c r="D232" s="19" t="str">
        <f>HYPERLINK("https://rmda.kulib.kyoto-u.ac.jp/item/rb00000349?page=107")</f>
        <v>https://rmda.kulib.kyoto-u.ac.jp/item/rb00000349?page=107</v>
      </c>
      <c r="E232" s="19"/>
      <c r="F232" s="22"/>
      <c r="G232" s="22"/>
    </row>
    <row r="233" spans="1:7" x14ac:dyDescent="0.15">
      <c r="A233" s="20" t="s">
        <v>8634</v>
      </c>
      <c r="B233" s="19" t="s">
        <v>8031</v>
      </c>
      <c r="C233" s="19">
        <v>107</v>
      </c>
      <c r="D233" s="19" t="str">
        <f>HYPERLINK("https://rmda.kulib.kyoto-u.ac.jp/item/rb00000349?page=107")</f>
        <v>https://rmda.kulib.kyoto-u.ac.jp/item/rb00000349?page=107</v>
      </c>
      <c r="E233" s="19"/>
      <c r="F233" s="22"/>
      <c r="G233" s="22"/>
    </row>
    <row r="234" spans="1:7" x14ac:dyDescent="0.15">
      <c r="A234" s="20" t="s">
        <v>8634</v>
      </c>
      <c r="B234" s="19" t="s">
        <v>7785</v>
      </c>
      <c r="C234" s="19">
        <v>108</v>
      </c>
      <c r="D234" s="19" t="str">
        <f>HYPERLINK("https://rmda.kulib.kyoto-u.ac.jp/item/rb00000349?page=108")</f>
        <v>https://rmda.kulib.kyoto-u.ac.jp/item/rb00000349?page=108</v>
      </c>
      <c r="E234" s="19"/>
      <c r="F234" s="22"/>
      <c r="G234" s="22"/>
    </row>
    <row r="235" spans="1:7" x14ac:dyDescent="0.15">
      <c r="A235" s="20" t="s">
        <v>8634</v>
      </c>
      <c r="B235" s="19" t="s">
        <v>5997</v>
      </c>
      <c r="C235" s="19">
        <v>108</v>
      </c>
      <c r="D235" s="19" t="str">
        <f>HYPERLINK("https://rmda.kulib.kyoto-u.ac.jp/item/rb00000349?page=108")</f>
        <v>https://rmda.kulib.kyoto-u.ac.jp/item/rb00000349?page=108</v>
      </c>
      <c r="E235" s="19"/>
      <c r="F235" s="22"/>
      <c r="G235" s="22"/>
    </row>
    <row r="236" spans="1:7" x14ac:dyDescent="0.15">
      <c r="A236" s="20" t="s">
        <v>8634</v>
      </c>
      <c r="B236" s="19" t="s">
        <v>8563</v>
      </c>
      <c r="C236" s="19">
        <v>109</v>
      </c>
      <c r="D236" s="19" t="str">
        <f>HYPERLINK("https://rmda.kulib.kyoto-u.ac.jp/item/rb00000349?page=109")</f>
        <v>https://rmda.kulib.kyoto-u.ac.jp/item/rb00000349?page=109</v>
      </c>
      <c r="E236" s="19"/>
      <c r="F236" s="22"/>
      <c r="G236" s="22"/>
    </row>
    <row r="237" spans="1:7" x14ac:dyDescent="0.15">
      <c r="A237" s="20" t="s">
        <v>8634</v>
      </c>
      <c r="B237" s="19" t="s">
        <v>8564</v>
      </c>
      <c r="C237" s="19">
        <v>110</v>
      </c>
      <c r="D237" s="19" t="str">
        <f>HYPERLINK("https://rmda.kulib.kyoto-u.ac.jp/item/rb00000349?page=110")</f>
        <v>https://rmda.kulib.kyoto-u.ac.jp/item/rb00000349?page=110</v>
      </c>
      <c r="E237" s="19"/>
      <c r="F237" s="22"/>
      <c r="G237" s="22"/>
    </row>
    <row r="238" spans="1:7" x14ac:dyDescent="0.15">
      <c r="A238" s="20" t="s">
        <v>8634</v>
      </c>
      <c r="B238" s="19" t="s">
        <v>5984</v>
      </c>
      <c r="C238" s="19">
        <v>110</v>
      </c>
      <c r="D238" s="19" t="str">
        <f>HYPERLINK("https://rmda.kulib.kyoto-u.ac.jp/item/rb00000349?page=110")</f>
        <v>https://rmda.kulib.kyoto-u.ac.jp/item/rb00000349?page=110</v>
      </c>
      <c r="E238" s="19"/>
      <c r="F238" s="22"/>
      <c r="G238" s="22"/>
    </row>
    <row r="239" spans="1:7" x14ac:dyDescent="0.15">
      <c r="A239" s="20" t="s">
        <v>8634</v>
      </c>
      <c r="B239" s="20" t="s">
        <v>8640</v>
      </c>
      <c r="C239" s="19"/>
      <c r="D239" s="19"/>
      <c r="E239" s="19"/>
      <c r="F239" s="22"/>
      <c r="G239" s="22"/>
    </row>
    <row r="240" spans="1:7" x14ac:dyDescent="0.15">
      <c r="A240" s="20" t="s">
        <v>8634</v>
      </c>
      <c r="B240" s="19" t="s">
        <v>8565</v>
      </c>
      <c r="C240" s="19">
        <v>115</v>
      </c>
      <c r="D240" s="19" t="str">
        <f>HYPERLINK("https://rmda.kulib.kyoto-u.ac.jp/item/rb00000349?page=115")</f>
        <v>https://rmda.kulib.kyoto-u.ac.jp/item/rb00000349?page=115</v>
      </c>
      <c r="E240" s="19"/>
      <c r="F240" s="22"/>
      <c r="G240" s="22"/>
    </row>
    <row r="241" spans="1:7" x14ac:dyDescent="0.15">
      <c r="A241" s="20" t="s">
        <v>8634</v>
      </c>
      <c r="B241" s="19" t="s">
        <v>7577</v>
      </c>
      <c r="C241" s="19">
        <v>117</v>
      </c>
      <c r="D241" s="19" t="str">
        <f>HYPERLINK("https://rmda.kulib.kyoto-u.ac.jp/item/rb00000349?page=117")</f>
        <v>https://rmda.kulib.kyoto-u.ac.jp/item/rb00000349?page=117</v>
      </c>
      <c r="E241" s="19"/>
      <c r="F241" s="22"/>
      <c r="G241" s="22"/>
    </row>
    <row r="242" spans="1:7" x14ac:dyDescent="0.15">
      <c r="A242" s="20" t="s">
        <v>8634</v>
      </c>
      <c r="B242" s="19" t="s">
        <v>6833</v>
      </c>
      <c r="C242" s="19">
        <v>118</v>
      </c>
      <c r="D242" s="19" t="str">
        <f>HYPERLINK("https://rmda.kulib.kyoto-u.ac.jp/item/rb00000349?page=118")</f>
        <v>https://rmda.kulib.kyoto-u.ac.jp/item/rb00000349?page=118</v>
      </c>
      <c r="E242" s="19"/>
      <c r="F242" s="22"/>
      <c r="G242" s="22"/>
    </row>
    <row r="243" spans="1:7" x14ac:dyDescent="0.15">
      <c r="A243" s="20" t="s">
        <v>8634</v>
      </c>
      <c r="B243" s="19" t="s">
        <v>8566</v>
      </c>
      <c r="C243" s="19">
        <v>119</v>
      </c>
      <c r="D243" s="19" t="str">
        <f>HYPERLINK("https://rmda.kulib.kyoto-u.ac.jp/item/rb00000349?page=119")</f>
        <v>https://rmda.kulib.kyoto-u.ac.jp/item/rb00000349?page=119</v>
      </c>
      <c r="E243" s="19"/>
      <c r="F243" s="22"/>
      <c r="G243" s="22"/>
    </row>
    <row r="244" spans="1:7" x14ac:dyDescent="0.15">
      <c r="A244" s="20" t="s">
        <v>8634</v>
      </c>
      <c r="B244" s="19" t="s">
        <v>8567</v>
      </c>
      <c r="C244" s="19">
        <v>120</v>
      </c>
      <c r="D244" s="19" t="str">
        <f>HYPERLINK("https://rmda.kulib.kyoto-u.ac.jp/item/rb00000349?page=120")</f>
        <v>https://rmda.kulib.kyoto-u.ac.jp/item/rb00000349?page=120</v>
      </c>
      <c r="E244" s="19"/>
      <c r="F244" s="22"/>
      <c r="G244" s="22"/>
    </row>
    <row r="245" spans="1:7" x14ac:dyDescent="0.15">
      <c r="A245" s="20" t="s">
        <v>8634</v>
      </c>
      <c r="B245" s="19" t="s">
        <v>8568</v>
      </c>
      <c r="C245" s="19">
        <v>120</v>
      </c>
      <c r="D245" s="19" t="str">
        <f>HYPERLINK("https://rmda.kulib.kyoto-u.ac.jp/item/rb00000349?page=120")</f>
        <v>https://rmda.kulib.kyoto-u.ac.jp/item/rb00000349?page=120</v>
      </c>
      <c r="E245" s="19"/>
      <c r="F245" s="22"/>
      <c r="G245" s="22"/>
    </row>
    <row r="246" spans="1:7" x14ac:dyDescent="0.15">
      <c r="A246" s="20" t="s">
        <v>8634</v>
      </c>
      <c r="B246" s="19" t="s">
        <v>8122</v>
      </c>
      <c r="C246" s="19">
        <v>121</v>
      </c>
      <c r="D246" s="19" t="str">
        <f>HYPERLINK("https://rmda.kulib.kyoto-u.ac.jp/item/rb00000349?page=121")</f>
        <v>https://rmda.kulib.kyoto-u.ac.jp/item/rb00000349?page=121</v>
      </c>
      <c r="E246" s="19"/>
      <c r="F246" s="22"/>
      <c r="G246" s="22"/>
    </row>
    <row r="247" spans="1:7" x14ac:dyDescent="0.15">
      <c r="A247" s="20" t="s">
        <v>8634</v>
      </c>
      <c r="B247" s="19" t="s">
        <v>7659</v>
      </c>
      <c r="C247" s="19">
        <v>121</v>
      </c>
      <c r="D247" s="19" t="str">
        <f>HYPERLINK("https://rmda.kulib.kyoto-u.ac.jp/item/rb00000349?page=121")</f>
        <v>https://rmda.kulib.kyoto-u.ac.jp/item/rb00000349?page=121</v>
      </c>
      <c r="E247" s="19"/>
      <c r="F247" s="22"/>
      <c r="G247" s="22"/>
    </row>
    <row r="248" spans="1:7" x14ac:dyDescent="0.15">
      <c r="A248" s="20" t="s">
        <v>8634</v>
      </c>
      <c r="B248" s="19" t="s">
        <v>7335</v>
      </c>
      <c r="C248" s="19">
        <v>121</v>
      </c>
      <c r="D248" s="19" t="str">
        <f>HYPERLINK("https://rmda.kulib.kyoto-u.ac.jp/item/rb00000349?page=121")</f>
        <v>https://rmda.kulib.kyoto-u.ac.jp/item/rb00000349?page=121</v>
      </c>
      <c r="E248" s="19"/>
      <c r="F248" s="22"/>
      <c r="G248" s="22"/>
    </row>
    <row r="249" spans="1:7" x14ac:dyDescent="0.15">
      <c r="A249" s="20" t="s">
        <v>8634</v>
      </c>
      <c r="B249" s="19" t="s">
        <v>7340</v>
      </c>
      <c r="C249" s="19">
        <v>122</v>
      </c>
      <c r="D249" s="19" t="str">
        <f>HYPERLINK("https://rmda.kulib.kyoto-u.ac.jp/item/rb00000349?page=122")</f>
        <v>https://rmda.kulib.kyoto-u.ac.jp/item/rb00000349?page=122</v>
      </c>
      <c r="E249" s="19"/>
      <c r="F249" s="22"/>
      <c r="G249" s="22"/>
    </row>
    <row r="250" spans="1:7" x14ac:dyDescent="0.15">
      <c r="A250" s="20" t="s">
        <v>8634</v>
      </c>
      <c r="B250" s="19" t="s">
        <v>8569</v>
      </c>
      <c r="C250" s="19">
        <v>122</v>
      </c>
      <c r="D250" s="19" t="str">
        <f>HYPERLINK("https://rmda.kulib.kyoto-u.ac.jp/item/rb00000349?page=122")</f>
        <v>https://rmda.kulib.kyoto-u.ac.jp/item/rb00000349?page=122</v>
      </c>
      <c r="E250" s="19"/>
      <c r="F250" s="22"/>
      <c r="G250" s="22"/>
    </row>
    <row r="251" spans="1:7" x14ac:dyDescent="0.15">
      <c r="A251" s="20" t="s">
        <v>8634</v>
      </c>
      <c r="B251" s="19" t="s">
        <v>7461</v>
      </c>
      <c r="C251" s="19">
        <v>123</v>
      </c>
      <c r="D251" s="19" t="str">
        <f>HYPERLINK("https://rmda.kulib.kyoto-u.ac.jp/item/rb00000349?page=123")</f>
        <v>https://rmda.kulib.kyoto-u.ac.jp/item/rb00000349?page=123</v>
      </c>
      <c r="E251" s="19"/>
      <c r="F251" s="22"/>
      <c r="G251" s="22"/>
    </row>
    <row r="252" spans="1:7" x14ac:dyDescent="0.15">
      <c r="A252" s="20" t="s">
        <v>8634</v>
      </c>
      <c r="B252" s="19" t="s">
        <v>8571</v>
      </c>
      <c r="C252" s="19">
        <v>125</v>
      </c>
      <c r="D252" s="19" t="str">
        <f>HYPERLINK("https://rmda.kulib.kyoto-u.ac.jp/item/rb00000349?page=125")</f>
        <v>https://rmda.kulib.kyoto-u.ac.jp/item/rb00000349?page=125</v>
      </c>
      <c r="E252" s="19"/>
      <c r="F252" s="22"/>
      <c r="G252" s="22"/>
    </row>
    <row r="253" spans="1:7" x14ac:dyDescent="0.15">
      <c r="A253" s="20" t="s">
        <v>8634</v>
      </c>
      <c r="B253" s="19" t="s">
        <v>8572</v>
      </c>
      <c r="C253" s="19">
        <v>127</v>
      </c>
      <c r="D253" s="19" t="str">
        <f>HYPERLINK("https://rmda.kulib.kyoto-u.ac.jp/item/rb00000349?page=127")</f>
        <v>https://rmda.kulib.kyoto-u.ac.jp/item/rb00000349?page=127</v>
      </c>
      <c r="E253" s="19"/>
      <c r="F253" s="22"/>
      <c r="G253" s="22"/>
    </row>
    <row r="254" spans="1:7" x14ac:dyDescent="0.15">
      <c r="A254" s="20" t="s">
        <v>8634</v>
      </c>
      <c r="B254" s="19" t="s">
        <v>8573</v>
      </c>
      <c r="C254" s="19">
        <v>131</v>
      </c>
      <c r="D254" s="19" t="str">
        <f>HYPERLINK("https://rmda.kulib.kyoto-u.ac.jp/item/rb00000349?page=131")</f>
        <v>https://rmda.kulib.kyoto-u.ac.jp/item/rb00000349?page=131</v>
      </c>
      <c r="E254" s="19"/>
      <c r="F254" s="22"/>
      <c r="G254" s="22"/>
    </row>
    <row r="255" spans="1:7" x14ac:dyDescent="0.15">
      <c r="A255" s="20" t="s">
        <v>8634</v>
      </c>
      <c r="B255" s="19" t="s">
        <v>8574</v>
      </c>
      <c r="C255" s="19">
        <v>132</v>
      </c>
      <c r="D255" s="19" t="str">
        <f>HYPERLINK("https://rmda.kulib.kyoto-u.ac.jp/item/rb00000349?page=132")</f>
        <v>https://rmda.kulib.kyoto-u.ac.jp/item/rb00000349?page=132</v>
      </c>
      <c r="E255" s="19"/>
      <c r="F255" s="22"/>
      <c r="G255" s="22"/>
    </row>
    <row r="256" spans="1:7" x14ac:dyDescent="0.15">
      <c r="A256" s="20" t="s">
        <v>8634</v>
      </c>
      <c r="B256" s="19" t="s">
        <v>8575</v>
      </c>
      <c r="C256" s="19">
        <v>134</v>
      </c>
      <c r="D256" s="19" t="str">
        <f>HYPERLINK("https://rmda.kulib.kyoto-u.ac.jp/item/rb00000349?page=134")</f>
        <v>https://rmda.kulib.kyoto-u.ac.jp/item/rb00000349?page=134</v>
      </c>
      <c r="E256" s="19"/>
      <c r="F256" s="22"/>
      <c r="G256" s="22"/>
    </row>
    <row r="257" spans="1:7" x14ac:dyDescent="0.15">
      <c r="A257" s="20" t="s">
        <v>8634</v>
      </c>
      <c r="B257" s="19" t="s">
        <v>8576</v>
      </c>
      <c r="C257" s="19">
        <v>137</v>
      </c>
      <c r="D257" s="19" t="str">
        <f>HYPERLINK("https://rmda.kulib.kyoto-u.ac.jp/item/rb00000349?page=137")</f>
        <v>https://rmda.kulib.kyoto-u.ac.jp/item/rb00000349?page=137</v>
      </c>
      <c r="E257" s="19"/>
      <c r="F257" s="22"/>
      <c r="G257" s="22"/>
    </row>
    <row r="258" spans="1:7" x14ac:dyDescent="0.15">
      <c r="A258" s="20" t="s">
        <v>8634</v>
      </c>
      <c r="B258" s="19" t="s">
        <v>8577</v>
      </c>
      <c r="C258" s="19">
        <v>140</v>
      </c>
      <c r="D258" s="19" t="str">
        <f>HYPERLINK("https://rmda.kulib.kyoto-u.ac.jp/item/rb00000349?page=140")</f>
        <v>https://rmda.kulib.kyoto-u.ac.jp/item/rb00000349?page=140</v>
      </c>
      <c r="E258" s="19"/>
      <c r="F258" s="22"/>
      <c r="G258" s="22"/>
    </row>
    <row r="259" spans="1:7" x14ac:dyDescent="0.15">
      <c r="A259" s="20" t="s">
        <v>8634</v>
      </c>
      <c r="B259" s="20" t="s">
        <v>8641</v>
      </c>
      <c r="C259" s="19"/>
      <c r="D259" s="19" t="s">
        <v>8531</v>
      </c>
      <c r="E259" s="19"/>
      <c r="F259" s="22"/>
      <c r="G259" s="22"/>
    </row>
    <row r="260" spans="1:7" x14ac:dyDescent="0.15">
      <c r="A260" s="20" t="s">
        <v>8634</v>
      </c>
      <c r="B260" s="19" t="s">
        <v>8578</v>
      </c>
      <c r="C260" s="19">
        <v>152</v>
      </c>
      <c r="D260" s="19" t="str">
        <f>HYPERLINK("https://rmda.kulib.kyoto-u.ac.jp/item/rb00000349?page=152")</f>
        <v>https://rmda.kulib.kyoto-u.ac.jp/item/rb00000349?page=152</v>
      </c>
      <c r="E260" s="19"/>
      <c r="F260" s="22"/>
      <c r="G260" s="22"/>
    </row>
    <row r="261" spans="1:7" x14ac:dyDescent="0.15">
      <c r="A261" s="20" t="s">
        <v>8634</v>
      </c>
      <c r="B261" s="19" t="s">
        <v>7699</v>
      </c>
      <c r="C261" s="19">
        <v>157</v>
      </c>
      <c r="D261" s="19" t="str">
        <f>HYPERLINK("https://rmda.kulib.kyoto-u.ac.jp/item/rb00000349?page=157")</f>
        <v>https://rmda.kulib.kyoto-u.ac.jp/item/rb00000349?page=157</v>
      </c>
      <c r="E261" s="19"/>
      <c r="F261" s="22"/>
      <c r="G261" s="22"/>
    </row>
    <row r="262" spans="1:7" x14ac:dyDescent="0.15">
      <c r="A262" s="20" t="s">
        <v>8634</v>
      </c>
      <c r="B262" s="19" t="s">
        <v>6357</v>
      </c>
      <c r="C262" s="19">
        <v>158</v>
      </c>
      <c r="D262" s="19" t="str">
        <f>HYPERLINK("https://rmda.kulib.kyoto-u.ac.jp/item/rb00000349?page=158")</f>
        <v>https://rmda.kulib.kyoto-u.ac.jp/item/rb00000349?page=158</v>
      </c>
      <c r="E262" s="19"/>
      <c r="F262" s="22"/>
      <c r="G262" s="22"/>
    </row>
    <row r="263" spans="1:7" x14ac:dyDescent="0.15">
      <c r="A263" s="20" t="s">
        <v>8634</v>
      </c>
      <c r="B263" s="19" t="s">
        <v>5778</v>
      </c>
      <c r="C263" s="19">
        <v>159</v>
      </c>
      <c r="D263" s="19" t="str">
        <f>HYPERLINK("https://rmda.kulib.kyoto-u.ac.jp/item/rb00000349?page=159")</f>
        <v>https://rmda.kulib.kyoto-u.ac.jp/item/rb00000349?page=159</v>
      </c>
      <c r="E263" s="19"/>
      <c r="F263" s="22"/>
      <c r="G263" s="22"/>
    </row>
    <row r="264" spans="1:7" x14ac:dyDescent="0.15">
      <c r="A264" s="20" t="s">
        <v>8634</v>
      </c>
      <c r="B264" s="19" t="s">
        <v>6373</v>
      </c>
      <c r="C264" s="19">
        <v>159</v>
      </c>
      <c r="D264" s="19" t="str">
        <f>HYPERLINK("https://rmda.kulib.kyoto-u.ac.jp/item/rb00000349?page=159")</f>
        <v>https://rmda.kulib.kyoto-u.ac.jp/item/rb00000349?page=159</v>
      </c>
      <c r="E264" s="19"/>
      <c r="F264" s="22"/>
      <c r="G264" s="22"/>
    </row>
    <row r="265" spans="1:7" x14ac:dyDescent="0.15">
      <c r="A265" s="20" t="s">
        <v>8634</v>
      </c>
      <c r="B265" s="19" t="s">
        <v>6353</v>
      </c>
      <c r="C265" s="19">
        <v>161</v>
      </c>
      <c r="D265" s="19" t="str">
        <f>HYPERLINK("https://rmda.kulib.kyoto-u.ac.jp/item/rb00000349?page=161")</f>
        <v>https://rmda.kulib.kyoto-u.ac.jp/item/rb00000349?page=161</v>
      </c>
      <c r="E265" s="19"/>
      <c r="F265" s="22"/>
      <c r="G265" s="22"/>
    </row>
    <row r="266" spans="1:7" x14ac:dyDescent="0.15">
      <c r="A266" s="20" t="s">
        <v>8634</v>
      </c>
      <c r="B266" s="19" t="s">
        <v>6056</v>
      </c>
      <c r="C266" s="19">
        <v>162</v>
      </c>
      <c r="D266" s="19" t="str">
        <f>HYPERLINK("https://rmda.kulib.kyoto-u.ac.jp/item/rb00000349?page=162")</f>
        <v>https://rmda.kulib.kyoto-u.ac.jp/item/rb00000349?page=162</v>
      </c>
      <c r="E266" s="19"/>
      <c r="F266" s="22"/>
      <c r="G266" s="22"/>
    </row>
    <row r="267" spans="1:7" x14ac:dyDescent="0.15">
      <c r="A267" s="20" t="s">
        <v>8634</v>
      </c>
      <c r="B267" s="19" t="s">
        <v>8579</v>
      </c>
      <c r="C267" s="19">
        <v>164</v>
      </c>
      <c r="D267" s="19" t="str">
        <f>HYPERLINK("https://rmda.kulib.kyoto-u.ac.jp/item/rb00000349?page=164")</f>
        <v>https://rmda.kulib.kyoto-u.ac.jp/item/rb00000349?page=164</v>
      </c>
      <c r="E267" s="19"/>
      <c r="F267" s="22"/>
      <c r="G267" s="22"/>
    </row>
    <row r="268" spans="1:7" x14ac:dyDescent="0.15">
      <c r="A268" s="20" t="s">
        <v>8634</v>
      </c>
      <c r="B268" s="20" t="s">
        <v>8580</v>
      </c>
      <c r="C268" s="19">
        <v>166</v>
      </c>
      <c r="D268" s="19" t="str">
        <f>HYPERLINK("https://rmda.kulib.kyoto-u.ac.jp/item/rb00000349?page=166")</f>
        <v>https://rmda.kulib.kyoto-u.ac.jp/item/rb00000349?page=166</v>
      </c>
      <c r="E268" s="20" t="s">
        <v>8581</v>
      </c>
      <c r="F268" s="22"/>
      <c r="G268" s="22"/>
    </row>
    <row r="269" spans="1:7" x14ac:dyDescent="0.15">
      <c r="A269" s="20" t="s">
        <v>8634</v>
      </c>
      <c r="B269" s="19" t="s">
        <v>7748</v>
      </c>
      <c r="C269" s="19">
        <v>168</v>
      </c>
      <c r="D269" s="19" t="str">
        <f>HYPERLINK("https://rmda.kulib.kyoto-u.ac.jp/item/rb00000349?page=168")</f>
        <v>https://rmda.kulib.kyoto-u.ac.jp/item/rb00000349?page=168</v>
      </c>
      <c r="E269" s="19"/>
      <c r="F269" s="22"/>
      <c r="G269" s="22"/>
    </row>
    <row r="270" spans="1:7" x14ac:dyDescent="0.15">
      <c r="A270" s="20" t="s">
        <v>8634</v>
      </c>
      <c r="B270" s="19" t="s">
        <v>8582</v>
      </c>
      <c r="C270" s="19">
        <v>169</v>
      </c>
      <c r="D270" s="19" t="str">
        <f>HYPERLINK("https://rmda.kulib.kyoto-u.ac.jp/item/rb00000349?page=169")</f>
        <v>https://rmda.kulib.kyoto-u.ac.jp/item/rb00000349?page=169</v>
      </c>
      <c r="E270" s="19"/>
      <c r="F270" s="22"/>
      <c r="G270" s="22"/>
    </row>
    <row r="271" spans="1:7" x14ac:dyDescent="0.15">
      <c r="A271" s="20" t="s">
        <v>8634</v>
      </c>
      <c r="B271" s="19" t="s">
        <v>8583</v>
      </c>
      <c r="C271" s="19">
        <v>170</v>
      </c>
      <c r="D271" s="19" t="str">
        <f>HYPERLINK("https://rmda.kulib.kyoto-u.ac.jp/item/rb00000349?page=170")</f>
        <v>https://rmda.kulib.kyoto-u.ac.jp/item/rb00000349?page=170</v>
      </c>
      <c r="E271" s="19"/>
      <c r="F271" s="22"/>
      <c r="G271" s="22"/>
    </row>
    <row r="272" spans="1:7" x14ac:dyDescent="0.15">
      <c r="A272" s="20" t="s">
        <v>8634</v>
      </c>
      <c r="B272" s="19" t="s">
        <v>6262</v>
      </c>
      <c r="C272" s="19">
        <v>170</v>
      </c>
      <c r="D272" s="19" t="str">
        <f>HYPERLINK("https://rmda.kulib.kyoto-u.ac.jp/item/rb00000349?page=170")</f>
        <v>https://rmda.kulib.kyoto-u.ac.jp/item/rb00000349?page=170</v>
      </c>
      <c r="E272" s="19"/>
      <c r="F272" s="22"/>
      <c r="G272" s="22"/>
    </row>
    <row r="273" spans="1:7" x14ac:dyDescent="0.15">
      <c r="A273" s="20" t="s">
        <v>8634</v>
      </c>
      <c r="B273" s="19" t="s">
        <v>8584</v>
      </c>
      <c r="C273" s="19">
        <v>175</v>
      </c>
      <c r="D273" s="19" t="str">
        <f>HYPERLINK("https://rmda.kulib.kyoto-u.ac.jp/item/rb00000349?page=175")</f>
        <v>https://rmda.kulib.kyoto-u.ac.jp/item/rb00000349?page=175</v>
      </c>
      <c r="E273" s="19"/>
      <c r="F273" s="22"/>
      <c r="G273" s="22"/>
    </row>
    <row r="274" spans="1:7" x14ac:dyDescent="0.15">
      <c r="A274" s="20" t="s">
        <v>8634</v>
      </c>
      <c r="B274" s="19" t="s">
        <v>8585</v>
      </c>
      <c r="C274" s="19">
        <v>177</v>
      </c>
      <c r="D274" s="19" t="str">
        <f>HYPERLINK("https://rmda.kulib.kyoto-u.ac.jp/item/rb00000349?page=177")</f>
        <v>https://rmda.kulib.kyoto-u.ac.jp/item/rb00000349?page=177</v>
      </c>
      <c r="E274" s="19"/>
      <c r="F274" s="22"/>
      <c r="G274" s="22"/>
    </row>
    <row r="275" spans="1:7" x14ac:dyDescent="0.15">
      <c r="A275" s="20" t="s">
        <v>8634</v>
      </c>
      <c r="B275" s="19" t="s">
        <v>8586</v>
      </c>
      <c r="C275" s="19">
        <v>179</v>
      </c>
      <c r="D275" s="19" t="str">
        <f>HYPERLINK("https://rmda.kulib.kyoto-u.ac.jp/item/rb00000349?page=179")</f>
        <v>https://rmda.kulib.kyoto-u.ac.jp/item/rb00000349?page=179</v>
      </c>
      <c r="E275" s="19"/>
      <c r="F275" s="22"/>
      <c r="G275" s="22"/>
    </row>
    <row r="276" spans="1:7" x14ac:dyDescent="0.15">
      <c r="A276" s="20" t="s">
        <v>8634</v>
      </c>
      <c r="B276" s="19" t="s">
        <v>6012</v>
      </c>
      <c r="C276" s="19">
        <v>183</v>
      </c>
      <c r="D276" s="19" t="str">
        <f>HYPERLINK("https://rmda.kulib.kyoto-u.ac.jp/item/rb00000349?page=183")</f>
        <v>https://rmda.kulib.kyoto-u.ac.jp/item/rb00000349?page=183</v>
      </c>
      <c r="E276" s="19"/>
      <c r="F276" s="22"/>
      <c r="G276" s="22"/>
    </row>
    <row r="277" spans="1:7" x14ac:dyDescent="0.15">
      <c r="A277" s="20" t="s">
        <v>8634</v>
      </c>
      <c r="B277" s="19" t="s">
        <v>8587</v>
      </c>
      <c r="C277" s="19">
        <v>182</v>
      </c>
      <c r="D277" s="19" t="str">
        <f>HYPERLINK("https://rmda.kulib.kyoto-u.ac.jp/item/rb00000349?page=182")</f>
        <v>https://rmda.kulib.kyoto-u.ac.jp/item/rb00000349?page=182</v>
      </c>
      <c r="E277" s="19"/>
      <c r="F277" s="22"/>
      <c r="G277" s="22"/>
    </row>
    <row r="278" spans="1:7" x14ac:dyDescent="0.15">
      <c r="A278" s="20" t="s">
        <v>8634</v>
      </c>
      <c r="B278" s="20" t="s">
        <v>8642</v>
      </c>
      <c r="C278" s="19"/>
      <c r="D278" s="19" t="s">
        <v>8531</v>
      </c>
      <c r="E278" s="19"/>
      <c r="F278" s="22"/>
      <c r="G278" s="22"/>
    </row>
    <row r="279" spans="1:7" x14ac:dyDescent="0.15">
      <c r="A279" s="20" t="s">
        <v>8634</v>
      </c>
      <c r="B279" s="19" t="s">
        <v>8589</v>
      </c>
      <c r="C279" s="19">
        <v>190</v>
      </c>
      <c r="D279" s="19" t="str">
        <f>HYPERLINK("https://rmda.kulib.kyoto-u.ac.jp/item/rb00000349?page=190")</f>
        <v>https://rmda.kulib.kyoto-u.ac.jp/item/rb00000349?page=190</v>
      </c>
      <c r="E279" s="19"/>
      <c r="F279" s="22"/>
      <c r="G279" s="22"/>
    </row>
    <row r="280" spans="1:7" x14ac:dyDescent="0.15">
      <c r="A280" s="20" t="s">
        <v>8634</v>
      </c>
      <c r="B280" s="17" t="s">
        <v>8591</v>
      </c>
      <c r="C280" s="19">
        <v>192</v>
      </c>
      <c r="D280" s="19" t="str">
        <f>HYPERLINK("https://rmda.kulib.kyoto-u.ac.jp/item/rb00000349?page=192")</f>
        <v>https://rmda.kulib.kyoto-u.ac.jp/item/rb00000349?page=192</v>
      </c>
      <c r="E280" s="19"/>
      <c r="F280" s="22"/>
      <c r="G280" s="22"/>
    </row>
    <row r="281" spans="1:7" x14ac:dyDescent="0.15">
      <c r="A281" s="20" t="s">
        <v>8634</v>
      </c>
      <c r="B281" s="19" t="s">
        <v>7701</v>
      </c>
      <c r="C281" s="19">
        <v>193</v>
      </c>
      <c r="D281" s="19" t="str">
        <f>HYPERLINK("https://rmda.kulib.kyoto-u.ac.jp/item/rb00000349?page=193")</f>
        <v>https://rmda.kulib.kyoto-u.ac.jp/item/rb00000349?page=193</v>
      </c>
      <c r="E281" s="19"/>
      <c r="F281" s="22"/>
      <c r="G281" s="22"/>
    </row>
    <row r="282" spans="1:7" x14ac:dyDescent="0.15">
      <c r="A282" s="20" t="s">
        <v>8634</v>
      </c>
      <c r="B282" s="19" t="s">
        <v>7681</v>
      </c>
      <c r="C282" s="19">
        <v>194</v>
      </c>
      <c r="D282" s="19" t="str">
        <f>HYPERLINK("https://rmda.kulib.kyoto-u.ac.jp/item/rb00000349?page=194")</f>
        <v>https://rmda.kulib.kyoto-u.ac.jp/item/rb00000349?page=194</v>
      </c>
      <c r="E282" s="19"/>
      <c r="F282" s="22"/>
      <c r="G282" s="22"/>
    </row>
    <row r="283" spans="1:7" x14ac:dyDescent="0.15">
      <c r="A283" s="20" t="s">
        <v>8634</v>
      </c>
      <c r="B283" s="19" t="s">
        <v>7352</v>
      </c>
      <c r="C283" s="19">
        <v>195</v>
      </c>
      <c r="D283" s="19" t="str">
        <f>HYPERLINK("https://rmda.kulib.kyoto-u.ac.jp/item/rb00000349?page=195")</f>
        <v>https://rmda.kulib.kyoto-u.ac.jp/item/rb00000349?page=195</v>
      </c>
      <c r="E283" s="19"/>
      <c r="F283" s="22"/>
      <c r="G283" s="22"/>
    </row>
    <row r="284" spans="1:7" x14ac:dyDescent="0.15">
      <c r="A284" s="20" t="s">
        <v>8634</v>
      </c>
      <c r="B284" s="19" t="s">
        <v>8034</v>
      </c>
      <c r="C284" s="19">
        <v>196</v>
      </c>
      <c r="D284" s="19" t="str">
        <f>HYPERLINK("https://rmda.kulib.kyoto-u.ac.jp/item/rb00000349?page=196")</f>
        <v>https://rmda.kulib.kyoto-u.ac.jp/item/rb00000349?page=196</v>
      </c>
      <c r="E284" s="19"/>
      <c r="F284" s="22"/>
      <c r="G284" s="22"/>
    </row>
    <row r="285" spans="1:7" x14ac:dyDescent="0.15">
      <c r="A285" s="20" t="s">
        <v>8634</v>
      </c>
      <c r="B285" s="19" t="s">
        <v>8592</v>
      </c>
      <c r="C285" s="19">
        <v>198</v>
      </c>
      <c r="D285" s="19" t="str">
        <f>HYPERLINK("https://rmda.kulib.kyoto-u.ac.jp/item/rb00000349?page=198")</f>
        <v>https://rmda.kulib.kyoto-u.ac.jp/item/rb00000349?page=198</v>
      </c>
      <c r="E285" s="19"/>
      <c r="F285" s="22"/>
      <c r="G285" s="22"/>
    </row>
    <row r="286" spans="1:7" x14ac:dyDescent="0.15">
      <c r="A286" s="20" t="s">
        <v>8634</v>
      </c>
      <c r="B286" s="19" t="s">
        <v>6008</v>
      </c>
      <c r="C286" s="19">
        <v>200</v>
      </c>
      <c r="D286" s="19" t="str">
        <f>HYPERLINK("https://rmda.kulib.kyoto-u.ac.jp/item/rb00000349?page=200")</f>
        <v>https://rmda.kulib.kyoto-u.ac.jp/item/rb00000349?page=200</v>
      </c>
      <c r="E286" s="19"/>
      <c r="F286" s="22"/>
      <c r="G286" s="22"/>
    </row>
    <row r="287" spans="1:7" x14ac:dyDescent="0.15">
      <c r="A287" s="20" t="s">
        <v>8634</v>
      </c>
      <c r="B287" s="25" t="s">
        <v>8643</v>
      </c>
      <c r="C287" s="19">
        <v>203</v>
      </c>
      <c r="D287" s="18" t="str">
        <f>HYPERLINK("https://rmda.kulib.kyoto-u.ac.jp/item/rb00000349?page=203")</f>
        <v>https://rmda.kulib.kyoto-u.ac.jp/item/rb00000349?page=203</v>
      </c>
      <c r="E287" s="19"/>
      <c r="F287" s="22"/>
      <c r="G287" s="22"/>
    </row>
    <row r="288" spans="1:7" x14ac:dyDescent="0.15">
      <c r="A288" s="20" t="s">
        <v>8634</v>
      </c>
      <c r="B288" s="19" t="s">
        <v>8251</v>
      </c>
      <c r="C288" s="19">
        <v>207</v>
      </c>
      <c r="D288" s="18" t="str">
        <f>HYPERLINK("https://rmda.kulib.kyoto-u.ac.jp/item/rb00000349?page=207")</f>
        <v>https://rmda.kulib.kyoto-u.ac.jp/item/rb00000349?page=207</v>
      </c>
      <c r="E288" s="19"/>
      <c r="F288" s="22"/>
      <c r="G288" s="22"/>
    </row>
    <row r="289" spans="1:7" x14ac:dyDescent="0.15">
      <c r="A289" s="20" t="s">
        <v>8634</v>
      </c>
      <c r="B289" s="19" t="s">
        <v>8594</v>
      </c>
      <c r="C289" s="19">
        <v>179</v>
      </c>
      <c r="D289" s="26" t="str">
        <f>HYPERLINK("https://kokusho.nijl.ac.jp/biblio/100244256/179")</f>
        <v>https://kokusho.nijl.ac.jp/biblio/100244256/179</v>
      </c>
      <c r="E289" s="19" t="s">
        <v>8644</v>
      </c>
      <c r="F289" s="22"/>
      <c r="G289" s="22"/>
    </row>
    <row r="290" spans="1:7" x14ac:dyDescent="0.15">
      <c r="A290" s="20" t="s">
        <v>8634</v>
      </c>
      <c r="B290" s="19" t="s">
        <v>8595</v>
      </c>
      <c r="C290" s="19">
        <v>208</v>
      </c>
      <c r="D290" s="19" t="str">
        <f>HYPERLINK("https://rmda.kulib.kyoto-u.ac.jp/item/rb00000349?page=208")</f>
        <v>https://rmda.kulib.kyoto-u.ac.jp/item/rb00000349?page=208</v>
      </c>
      <c r="E290" s="19"/>
      <c r="F290" s="22"/>
      <c r="G290" s="22"/>
    </row>
    <row r="291" spans="1:7" x14ac:dyDescent="0.15">
      <c r="A291" s="20" t="s">
        <v>8634</v>
      </c>
      <c r="B291" s="19" t="s">
        <v>6974</v>
      </c>
      <c r="C291" s="19">
        <v>208</v>
      </c>
      <c r="D291" s="19" t="str">
        <f>HYPERLINK("https://rmda.kulib.kyoto-u.ac.jp/item/rb00000349?page=208")</f>
        <v>https://rmda.kulib.kyoto-u.ac.jp/item/rb00000349?page=208</v>
      </c>
      <c r="E291" s="19"/>
      <c r="F291" s="22"/>
      <c r="G291" s="22"/>
    </row>
    <row r="292" spans="1:7" x14ac:dyDescent="0.15">
      <c r="A292" s="20" t="s">
        <v>8634</v>
      </c>
      <c r="B292" s="25" t="s">
        <v>8645</v>
      </c>
      <c r="C292" s="19">
        <v>208</v>
      </c>
      <c r="D292" s="19" t="str">
        <f>HYPERLINK("https://rmda.kulib.kyoto-u.ac.jp/item/rb00000349?page=208")</f>
        <v>https://rmda.kulib.kyoto-u.ac.jp/item/rb00000349?page=208</v>
      </c>
      <c r="E292" s="19"/>
      <c r="F292" s="22"/>
      <c r="G292" s="22"/>
    </row>
    <row r="293" spans="1:7" x14ac:dyDescent="0.15">
      <c r="A293" s="20" t="s">
        <v>8634</v>
      </c>
      <c r="B293" s="20" t="s">
        <v>8646</v>
      </c>
      <c r="C293" s="19"/>
      <c r="D293" s="19" t="s">
        <v>8531</v>
      </c>
      <c r="E293" s="19"/>
      <c r="F293" s="22"/>
      <c r="G293" s="22"/>
    </row>
    <row r="294" spans="1:7" x14ac:dyDescent="0.15">
      <c r="A294" s="20" t="s">
        <v>8634</v>
      </c>
      <c r="B294" s="19" t="s">
        <v>8598</v>
      </c>
      <c r="C294" s="19">
        <v>216</v>
      </c>
      <c r="D294" s="19" t="str">
        <f>HYPERLINK("https://rmda.kulib.kyoto-u.ac.jp/item/rb00000349?page=216")</f>
        <v>https://rmda.kulib.kyoto-u.ac.jp/item/rb00000349?page=216</v>
      </c>
      <c r="E294" s="19"/>
      <c r="F294" s="22"/>
      <c r="G294" s="22"/>
    </row>
    <row r="295" spans="1:7" x14ac:dyDescent="0.15">
      <c r="A295" s="20" t="s">
        <v>8634</v>
      </c>
      <c r="B295" s="19" t="s">
        <v>8599</v>
      </c>
      <c r="C295" s="19">
        <v>219</v>
      </c>
      <c r="D295" s="19" t="str">
        <f>HYPERLINK("https://rmda.kulib.kyoto-u.ac.jp/item/rb00000349?page=219")</f>
        <v>https://rmda.kulib.kyoto-u.ac.jp/item/rb00000349?page=219</v>
      </c>
      <c r="E295" s="19"/>
      <c r="F295" s="22"/>
      <c r="G295" s="22"/>
    </row>
    <row r="296" spans="1:7" x14ac:dyDescent="0.15">
      <c r="A296" s="20" t="s">
        <v>8634</v>
      </c>
      <c r="B296" s="19" t="s">
        <v>8600</v>
      </c>
      <c r="C296" s="19">
        <v>221</v>
      </c>
      <c r="D296" s="19" t="str">
        <f>HYPERLINK("https://rmda.kulib.kyoto-u.ac.jp/item/rb00000349?page=221")</f>
        <v>https://rmda.kulib.kyoto-u.ac.jp/item/rb00000349?page=221</v>
      </c>
      <c r="E296" s="19"/>
      <c r="F296" s="22"/>
      <c r="G296" s="22"/>
    </row>
    <row r="297" spans="1:7" x14ac:dyDescent="0.15">
      <c r="A297" s="20" t="s">
        <v>8634</v>
      </c>
      <c r="B297" s="17" t="s">
        <v>8602</v>
      </c>
      <c r="C297" s="19">
        <v>223</v>
      </c>
      <c r="D297" s="19" t="str">
        <f>HYPERLINK("https://rmda.kulib.kyoto-u.ac.jp/item/rb00000349?page=223")</f>
        <v>https://rmda.kulib.kyoto-u.ac.jp/item/rb00000349?page=223</v>
      </c>
      <c r="E297" s="19"/>
      <c r="F297" s="22"/>
      <c r="G297" s="22"/>
    </row>
    <row r="298" spans="1:7" x14ac:dyDescent="0.15">
      <c r="A298" s="20" t="s">
        <v>8634</v>
      </c>
      <c r="B298" s="19" t="s">
        <v>8603</v>
      </c>
      <c r="C298" s="19">
        <v>223</v>
      </c>
      <c r="D298" s="19" t="str">
        <f>HYPERLINK("https://rmda.kulib.kyoto-u.ac.jp/item/rb00000349?page=223")</f>
        <v>https://rmda.kulib.kyoto-u.ac.jp/item/rb00000349?page=223</v>
      </c>
      <c r="E298" s="19"/>
      <c r="F298" s="22"/>
      <c r="G298" s="22"/>
    </row>
    <row r="299" spans="1:7" x14ac:dyDescent="0.15">
      <c r="A299" s="20" t="s">
        <v>8634</v>
      </c>
      <c r="B299" s="19" t="s">
        <v>7044</v>
      </c>
      <c r="C299" s="19">
        <v>227</v>
      </c>
      <c r="D299" s="19" t="str">
        <f>HYPERLINK("https://rmda.kulib.kyoto-u.ac.jp/item/rb00000349?page=227")</f>
        <v>https://rmda.kulib.kyoto-u.ac.jp/item/rb00000349?page=227</v>
      </c>
      <c r="E299" s="19"/>
      <c r="F299" s="22"/>
      <c r="G299" s="22"/>
    </row>
    <row r="300" spans="1:7" x14ac:dyDescent="0.15">
      <c r="A300" s="20" t="s">
        <v>8634</v>
      </c>
      <c r="B300" s="19" t="s">
        <v>8604</v>
      </c>
      <c r="C300" s="19">
        <v>228</v>
      </c>
      <c r="D300" s="19" t="str">
        <f>HYPERLINK("https://rmda.kulib.kyoto-u.ac.jp/item/rb00000349?page=228")</f>
        <v>https://rmda.kulib.kyoto-u.ac.jp/item/rb00000349?page=228</v>
      </c>
      <c r="E300" s="19"/>
      <c r="F300" s="22"/>
      <c r="G300" s="22"/>
    </row>
    <row r="301" spans="1:7" x14ac:dyDescent="0.15">
      <c r="A301" s="20" t="s">
        <v>8634</v>
      </c>
      <c r="B301" s="19" t="s">
        <v>7248</v>
      </c>
      <c r="C301" s="19">
        <v>232</v>
      </c>
      <c r="D301" s="19" t="str">
        <f>HYPERLINK("https://rmda.kulib.kyoto-u.ac.jp/item/rb00000349?page=232")</f>
        <v>https://rmda.kulib.kyoto-u.ac.jp/item/rb00000349?page=232</v>
      </c>
      <c r="E301" s="19"/>
      <c r="F301" s="22"/>
      <c r="G301" s="22"/>
    </row>
    <row r="302" spans="1:7" x14ac:dyDescent="0.15">
      <c r="A302" s="20" t="s">
        <v>8634</v>
      </c>
      <c r="B302" s="19" t="s">
        <v>8113</v>
      </c>
      <c r="C302" s="19">
        <v>232</v>
      </c>
      <c r="D302" s="19" t="str">
        <f>HYPERLINK("https://rmda.kulib.kyoto-u.ac.jp/item/rb00000349?page=232")</f>
        <v>https://rmda.kulib.kyoto-u.ac.jp/item/rb00000349?page=232</v>
      </c>
      <c r="E302" s="19"/>
      <c r="F302" s="22"/>
      <c r="G302" s="22"/>
    </row>
    <row r="303" spans="1:7" x14ac:dyDescent="0.15">
      <c r="A303" s="20" t="s">
        <v>8634</v>
      </c>
      <c r="B303" s="19" t="s">
        <v>8605</v>
      </c>
      <c r="C303" s="19">
        <v>233</v>
      </c>
      <c r="D303" s="19" t="str">
        <f>HYPERLINK("https://rmda.kulib.kyoto-u.ac.jp/item/rb00000349?page=233")</f>
        <v>https://rmda.kulib.kyoto-u.ac.jp/item/rb00000349?page=233</v>
      </c>
      <c r="E303" s="19"/>
      <c r="F303" s="22"/>
      <c r="G303" s="22"/>
    </row>
    <row r="304" spans="1:7" x14ac:dyDescent="0.15">
      <c r="A304" s="20" t="s">
        <v>8634</v>
      </c>
      <c r="B304" s="19" t="s">
        <v>7189</v>
      </c>
      <c r="C304" s="19">
        <v>233</v>
      </c>
      <c r="D304" s="19" t="str">
        <f>HYPERLINK("https://rmda.kulib.kyoto-u.ac.jp/item/rb00000349?page=233")</f>
        <v>https://rmda.kulib.kyoto-u.ac.jp/item/rb00000349?page=233</v>
      </c>
      <c r="E304" s="19"/>
      <c r="F304" s="22"/>
      <c r="G304" s="22"/>
    </row>
    <row r="305" spans="1:7" x14ac:dyDescent="0.15">
      <c r="A305" s="20" t="s">
        <v>8634</v>
      </c>
      <c r="B305" s="19" t="s">
        <v>8541</v>
      </c>
      <c r="C305" s="19">
        <v>225</v>
      </c>
      <c r="D305" s="19" t="str">
        <f>HYPERLINK("https://rmda.kulib.kyoto-u.ac.jp/item/rb00000349?page=225")</f>
        <v>https://rmda.kulib.kyoto-u.ac.jp/item/rb00000349?page=225</v>
      </c>
      <c r="E305" s="19"/>
      <c r="F305" s="22"/>
      <c r="G305" s="22"/>
    </row>
    <row r="306" spans="1:7" x14ac:dyDescent="0.15">
      <c r="A306" s="20" t="s">
        <v>8634</v>
      </c>
      <c r="B306" s="19" t="s">
        <v>7080</v>
      </c>
      <c r="C306" s="19">
        <v>226</v>
      </c>
      <c r="D306" s="19" t="str">
        <f>HYPERLINK("https://rmda.kulib.kyoto-u.ac.jp/item/rb00000349?page=226")</f>
        <v>https://rmda.kulib.kyoto-u.ac.jp/item/rb00000349?page=226</v>
      </c>
      <c r="E306" s="19"/>
      <c r="F306" s="22"/>
      <c r="G306" s="22"/>
    </row>
    <row r="307" spans="1:7" x14ac:dyDescent="0.15">
      <c r="A307" s="20" t="s">
        <v>8634</v>
      </c>
      <c r="B307" s="19" t="s">
        <v>8540</v>
      </c>
      <c r="C307" s="19">
        <v>227</v>
      </c>
      <c r="D307" s="19" t="str">
        <f>HYPERLINK("https://rmda.kulib.kyoto-u.ac.jp/item/rb00000349?page=227")</f>
        <v>https://rmda.kulib.kyoto-u.ac.jp/item/rb00000349?page=227</v>
      </c>
      <c r="E307" s="19"/>
      <c r="F307" s="22"/>
      <c r="G307" s="22"/>
    </row>
    <row r="308" spans="1:7" x14ac:dyDescent="0.15">
      <c r="A308" s="20" t="s">
        <v>8634</v>
      </c>
      <c r="B308" s="19" t="s">
        <v>8015</v>
      </c>
      <c r="C308" s="19">
        <v>227</v>
      </c>
      <c r="D308" s="19" t="str">
        <f>HYPERLINK("https://rmda.kulib.kyoto-u.ac.jp/item/rb00000349?page=227")</f>
        <v>https://rmda.kulib.kyoto-u.ac.jp/item/rb00000349?page=227</v>
      </c>
      <c r="E308" s="19"/>
      <c r="F308" s="22"/>
      <c r="G308" s="22"/>
    </row>
    <row r="309" spans="1:7" x14ac:dyDescent="0.15">
      <c r="A309" s="20" t="s">
        <v>8634</v>
      </c>
      <c r="B309" s="19" t="s">
        <v>7237</v>
      </c>
      <c r="C309" s="19">
        <v>233</v>
      </c>
      <c r="D309" s="19" t="str">
        <f>HYPERLINK("https://rmda.kulib.kyoto-u.ac.jp/item/rb00000349?page=233")</f>
        <v>https://rmda.kulib.kyoto-u.ac.jp/item/rb00000349?page=233</v>
      </c>
      <c r="E309" s="19"/>
      <c r="F309" s="22"/>
      <c r="G309" s="22"/>
    </row>
    <row r="310" spans="1:7" x14ac:dyDescent="0.15">
      <c r="A310" s="20" t="s">
        <v>8634</v>
      </c>
      <c r="B310" s="19" t="s">
        <v>6152</v>
      </c>
      <c r="C310" s="19">
        <v>234</v>
      </c>
      <c r="D310" s="19" t="str">
        <f>HYPERLINK("https://rmda.kulib.kyoto-u.ac.jp/item/rb00000349?page=234")</f>
        <v>https://rmda.kulib.kyoto-u.ac.jp/item/rb00000349?page=234</v>
      </c>
      <c r="E310" s="19"/>
      <c r="F310" s="22"/>
      <c r="G310" s="22"/>
    </row>
    <row r="311" spans="1:7" x14ac:dyDescent="0.15">
      <c r="A311" s="20" t="s">
        <v>8634</v>
      </c>
      <c r="B311" s="19" t="s">
        <v>8606</v>
      </c>
      <c r="C311" s="19">
        <v>234</v>
      </c>
      <c r="D311" s="19" t="str">
        <f>HYPERLINK("https://rmda.kulib.kyoto-u.ac.jp/item/rb00000349?page=234")</f>
        <v>https://rmda.kulib.kyoto-u.ac.jp/item/rb00000349?page=234</v>
      </c>
      <c r="E311" s="19"/>
      <c r="F311" s="22"/>
      <c r="G311" s="22"/>
    </row>
    <row r="312" spans="1:7" x14ac:dyDescent="0.15">
      <c r="A312" s="20" t="s">
        <v>8634</v>
      </c>
      <c r="B312" s="19" t="s">
        <v>8607</v>
      </c>
      <c r="C312" s="19">
        <v>237</v>
      </c>
      <c r="D312" s="19" t="str">
        <f>HYPERLINK("https://rmda.kulib.kyoto-u.ac.jp/item/rb00000349?page=237")</f>
        <v>https://rmda.kulib.kyoto-u.ac.jp/item/rb00000349?page=237</v>
      </c>
      <c r="E312" s="19"/>
      <c r="F312" s="22"/>
      <c r="G312" s="22"/>
    </row>
    <row r="313" spans="1:7" x14ac:dyDescent="0.15">
      <c r="A313" s="20" t="s">
        <v>8634</v>
      </c>
      <c r="B313" s="19" t="s">
        <v>7066</v>
      </c>
      <c r="C313" s="19">
        <v>245</v>
      </c>
      <c r="D313" s="19" t="str">
        <f>HYPERLINK("https://rmda.kulib.kyoto-u.ac.jp/item/rb00000349?page=245")</f>
        <v>https://rmda.kulib.kyoto-u.ac.jp/item/rb00000349?page=245</v>
      </c>
      <c r="E313" s="19"/>
      <c r="F313" s="22"/>
      <c r="G313" s="22"/>
    </row>
    <row r="314" spans="1:7" x14ac:dyDescent="0.15">
      <c r="A314" s="20" t="s">
        <v>8634</v>
      </c>
      <c r="B314" s="17" t="s">
        <v>8609</v>
      </c>
      <c r="C314" s="19">
        <v>248</v>
      </c>
      <c r="D314" s="18" t="str">
        <f>HYPERLINK("https://rmda.kulib.kyoto-u.ac.jp/item/rb00000349?page=248")</f>
        <v>https://rmda.kulib.kyoto-u.ac.jp/item/rb00000349?page=248</v>
      </c>
      <c r="E314" s="19"/>
      <c r="F314" s="22"/>
      <c r="G314" s="22"/>
    </row>
    <row r="315" spans="1:7" x14ac:dyDescent="0.15">
      <c r="A315" s="20" t="s">
        <v>8634</v>
      </c>
      <c r="B315" s="17" t="s">
        <v>8610</v>
      </c>
      <c r="C315" s="19">
        <v>253</v>
      </c>
      <c r="D315" s="19" t="str">
        <f>HYPERLINK("https://rmda.kulib.kyoto-u.ac.jp/item/rb00000349?page=253")</f>
        <v>https://rmda.kulib.kyoto-u.ac.jp/item/rb00000349?page=253</v>
      </c>
      <c r="E315" s="19"/>
      <c r="F315" s="22"/>
      <c r="G315" s="22"/>
    </row>
    <row r="316" spans="1:7" x14ac:dyDescent="0.15">
      <c r="A316" s="20" t="s">
        <v>8634</v>
      </c>
      <c r="B316" s="20" t="s">
        <v>8647</v>
      </c>
      <c r="C316" s="19"/>
      <c r="D316" s="21" t="s">
        <v>8612</v>
      </c>
      <c r="E316" s="19"/>
      <c r="F316" s="22"/>
      <c r="G316" s="22"/>
    </row>
    <row r="317" spans="1:7" x14ac:dyDescent="0.15">
      <c r="A317" s="20" t="s">
        <v>8634</v>
      </c>
      <c r="B317" s="19" t="s">
        <v>6564</v>
      </c>
      <c r="C317" s="19">
        <v>234</v>
      </c>
      <c r="D317" s="19" t="str">
        <f>HYPERLINK("https://rmda.kulib.kyoto-u.ac.jp/item/rb00000707?page=234")</f>
        <v>https://rmda.kulib.kyoto-u.ac.jp/item/rb00000707?page=234</v>
      </c>
      <c r="E317" s="19"/>
      <c r="F317" s="22"/>
      <c r="G317" s="22"/>
    </row>
    <row r="318" spans="1:7" x14ac:dyDescent="0.15">
      <c r="A318" s="20" t="s">
        <v>8634</v>
      </c>
      <c r="B318" s="19" t="s">
        <v>8613</v>
      </c>
      <c r="C318" s="19">
        <v>238</v>
      </c>
      <c r="D318" s="19" t="str">
        <f>HYPERLINK("https://rmda.kulib.kyoto-u.ac.jp/item/rb00000707?page=238")</f>
        <v>https://rmda.kulib.kyoto-u.ac.jp/item/rb00000707?page=238</v>
      </c>
      <c r="E318" s="19"/>
      <c r="F318" s="22"/>
      <c r="G318" s="22"/>
    </row>
    <row r="319" spans="1:7" x14ac:dyDescent="0.15">
      <c r="A319" s="20" t="s">
        <v>8634</v>
      </c>
      <c r="B319" s="19" t="s">
        <v>8614</v>
      </c>
      <c r="C319" s="19">
        <v>239</v>
      </c>
      <c r="D319" s="19" t="str">
        <f>HYPERLINK("https://rmda.kulib.kyoto-u.ac.jp/item/rb00000707?page=239")</f>
        <v>https://rmda.kulib.kyoto-u.ac.jp/item/rb00000707?page=239</v>
      </c>
      <c r="E319" s="19"/>
      <c r="F319" s="22"/>
      <c r="G319" s="22"/>
    </row>
    <row r="320" spans="1:7" x14ac:dyDescent="0.15">
      <c r="A320" s="20" t="s">
        <v>8634</v>
      </c>
      <c r="B320" s="19" t="s">
        <v>7039</v>
      </c>
      <c r="C320" s="19">
        <v>240</v>
      </c>
      <c r="D320" s="19" t="str">
        <f>HYPERLINK("https://rmda.kulib.kyoto-u.ac.jp/item/rb00000707?page=240")</f>
        <v>https://rmda.kulib.kyoto-u.ac.jp/item/rb00000707?page=240</v>
      </c>
      <c r="E320" s="19"/>
      <c r="F320" s="22"/>
      <c r="G320" s="22"/>
    </row>
    <row r="321" spans="1:7" x14ac:dyDescent="0.15">
      <c r="A321" s="20" t="s">
        <v>8634</v>
      </c>
      <c r="B321" s="19" t="s">
        <v>5773</v>
      </c>
      <c r="C321" s="19">
        <v>241</v>
      </c>
      <c r="D321" s="19" t="str">
        <f>HYPERLINK("https://rmda.kulib.kyoto-u.ac.jp/item/rb00000707?page=241")</f>
        <v>https://rmda.kulib.kyoto-u.ac.jp/item/rb00000707?page=241</v>
      </c>
      <c r="E321" s="19"/>
      <c r="F321" s="22"/>
      <c r="G321" s="22"/>
    </row>
    <row r="322" spans="1:7" x14ac:dyDescent="0.15">
      <c r="A322" s="20" t="s">
        <v>8634</v>
      </c>
      <c r="B322" s="19" t="s">
        <v>6567</v>
      </c>
      <c r="C322" s="19">
        <v>241</v>
      </c>
      <c r="D322" s="19" t="str">
        <f>HYPERLINK("https://rmda.kulib.kyoto-u.ac.jp/item/rb00000707?page=241")</f>
        <v>https://rmda.kulib.kyoto-u.ac.jp/item/rb00000707?page=241</v>
      </c>
      <c r="E322" s="19"/>
      <c r="F322" s="22"/>
      <c r="G322" s="22"/>
    </row>
    <row r="323" spans="1:7" x14ac:dyDescent="0.15">
      <c r="A323" s="20" t="s">
        <v>8634</v>
      </c>
      <c r="B323" s="19" t="s">
        <v>8615</v>
      </c>
      <c r="C323" s="19">
        <v>241</v>
      </c>
      <c r="D323" s="19" t="str">
        <f>HYPERLINK("https://rmda.kulib.kyoto-u.ac.jp/item/rb00000707?page=241")</f>
        <v>https://rmda.kulib.kyoto-u.ac.jp/item/rb00000707?page=241</v>
      </c>
      <c r="E323" s="19"/>
      <c r="F323" s="22"/>
      <c r="G323" s="22"/>
    </row>
    <row r="324" spans="1:7" x14ac:dyDescent="0.15">
      <c r="A324" s="20" t="s">
        <v>8634</v>
      </c>
      <c r="B324" s="19" t="s">
        <v>5712</v>
      </c>
      <c r="C324" s="19">
        <v>242</v>
      </c>
      <c r="D324" s="19" t="str">
        <f>HYPERLINK("https://rmda.kulib.kyoto-u.ac.jp/item/rb00000707?page=242")</f>
        <v>https://rmda.kulib.kyoto-u.ac.jp/item/rb00000707?page=242</v>
      </c>
      <c r="E324" s="19"/>
      <c r="F324" s="22"/>
      <c r="G324" s="22"/>
    </row>
    <row r="325" spans="1:7" x14ac:dyDescent="0.15">
      <c r="A325" s="20" t="s">
        <v>8634</v>
      </c>
      <c r="B325" s="19" t="s">
        <v>8616</v>
      </c>
      <c r="C325" s="19">
        <v>242</v>
      </c>
      <c r="D325" s="19" t="str">
        <f>HYPERLINK("https://rmda.kulib.kyoto-u.ac.jp/item/rb00000707?page=242")</f>
        <v>https://rmda.kulib.kyoto-u.ac.jp/item/rb00000707?page=242</v>
      </c>
      <c r="E325" s="19"/>
      <c r="F325" s="22"/>
      <c r="G325" s="22"/>
    </row>
    <row r="326" spans="1:7" x14ac:dyDescent="0.15">
      <c r="A326" s="20" t="s">
        <v>8634</v>
      </c>
      <c r="B326" s="19" t="s">
        <v>6306</v>
      </c>
      <c r="C326" s="19">
        <v>243</v>
      </c>
      <c r="D326" s="19" t="str">
        <f>HYPERLINK("https://rmda.kulib.kyoto-u.ac.jp/item/rb00000707?page=243")</f>
        <v>https://rmda.kulib.kyoto-u.ac.jp/item/rb00000707?page=243</v>
      </c>
      <c r="E326" s="19"/>
      <c r="F326" s="22"/>
      <c r="G326" s="22"/>
    </row>
    <row r="327" spans="1:7" x14ac:dyDescent="0.15">
      <c r="A327" s="20" t="s">
        <v>8634</v>
      </c>
      <c r="B327" s="19" t="s">
        <v>6294</v>
      </c>
      <c r="C327" s="19">
        <v>243</v>
      </c>
      <c r="D327" s="19" t="str">
        <f>HYPERLINK("https://rmda.kulib.kyoto-u.ac.jp/item/rb00000707?page=243")</f>
        <v>https://rmda.kulib.kyoto-u.ac.jp/item/rb00000707?page=243</v>
      </c>
      <c r="E327" s="19"/>
      <c r="F327" s="22"/>
      <c r="G327" s="22"/>
    </row>
    <row r="328" spans="1:7" x14ac:dyDescent="0.15">
      <c r="A328" s="20" t="s">
        <v>8634</v>
      </c>
      <c r="B328" s="19" t="s">
        <v>8617</v>
      </c>
      <c r="C328" s="19">
        <v>244</v>
      </c>
      <c r="D328" s="19" t="str">
        <f>HYPERLINK("https://rmda.kulib.kyoto-u.ac.jp/item/rb00000707?page=244")</f>
        <v>https://rmda.kulib.kyoto-u.ac.jp/item/rb00000707?page=244</v>
      </c>
      <c r="E328" s="19"/>
      <c r="F328" s="22"/>
      <c r="G328" s="22"/>
    </row>
    <row r="329" spans="1:7" x14ac:dyDescent="0.15">
      <c r="A329" s="20" t="s">
        <v>8634</v>
      </c>
      <c r="B329" s="17" t="s">
        <v>8619</v>
      </c>
      <c r="C329" s="19">
        <v>245</v>
      </c>
      <c r="D329" s="19" t="str">
        <f>HYPERLINK("https://rmda.kulib.kyoto-u.ac.jp/item/rb00000707?page=245")</f>
        <v>https://rmda.kulib.kyoto-u.ac.jp/item/rb00000707?page=245</v>
      </c>
      <c r="E329" s="19"/>
      <c r="F329" s="22"/>
      <c r="G329" s="22"/>
    </row>
    <row r="330" spans="1:7" x14ac:dyDescent="0.15">
      <c r="A330" s="27" t="s">
        <v>8648</v>
      </c>
      <c r="B330" s="27" t="s">
        <v>8649</v>
      </c>
      <c r="C330" s="22"/>
      <c r="D330" s="27" t="s">
        <v>8650</v>
      </c>
      <c r="E330" s="22"/>
      <c r="F330" s="22"/>
      <c r="G330" s="22"/>
    </row>
    <row r="331" spans="1:7" x14ac:dyDescent="0.15">
      <c r="A331" s="27" t="s">
        <v>8648</v>
      </c>
      <c r="B331" s="20" t="s">
        <v>8651</v>
      </c>
      <c r="C331" s="22"/>
      <c r="D331" s="19" t="str">
        <f t="shared" ref="D331:D340" si="0">HYPERLINK("https://kokusho.nijl.ac.jp/biblio/100314627/71")</f>
        <v>https://kokusho.nijl.ac.jp/biblio/100314627/71</v>
      </c>
      <c r="E331" s="22"/>
      <c r="F331" s="22"/>
      <c r="G331" s="22"/>
    </row>
    <row r="332" spans="1:7" x14ac:dyDescent="0.15">
      <c r="A332" s="27" t="s">
        <v>8648</v>
      </c>
      <c r="B332" s="19" t="s">
        <v>8652</v>
      </c>
      <c r="C332" s="22"/>
      <c r="D332" s="19" t="str">
        <f t="shared" si="0"/>
        <v>https://kokusho.nijl.ac.jp/biblio/100314627/71</v>
      </c>
      <c r="E332" s="22"/>
      <c r="F332" s="22"/>
      <c r="G332" s="22"/>
    </row>
    <row r="333" spans="1:7" x14ac:dyDescent="0.15">
      <c r="A333" s="27" t="s">
        <v>8648</v>
      </c>
      <c r="B333" s="19" t="s">
        <v>8653</v>
      </c>
      <c r="C333" s="22"/>
      <c r="D333" s="19" t="str">
        <f t="shared" si="0"/>
        <v>https://kokusho.nijl.ac.jp/biblio/100314627/71</v>
      </c>
      <c r="E333" s="22"/>
      <c r="F333" s="22"/>
      <c r="G333" s="22"/>
    </row>
    <row r="334" spans="1:7" x14ac:dyDescent="0.15">
      <c r="A334" s="27" t="s">
        <v>8648</v>
      </c>
      <c r="B334" s="19" t="s">
        <v>8654</v>
      </c>
      <c r="C334" s="22"/>
      <c r="D334" s="19" t="str">
        <f t="shared" si="0"/>
        <v>https://kokusho.nijl.ac.jp/biblio/100314627/71</v>
      </c>
      <c r="E334" s="22"/>
      <c r="F334" s="22"/>
      <c r="G334" s="22"/>
    </row>
    <row r="335" spans="1:7" x14ac:dyDescent="0.15">
      <c r="A335" s="27" t="s">
        <v>8648</v>
      </c>
      <c r="B335" s="19" t="s">
        <v>8655</v>
      </c>
      <c r="C335" s="22"/>
      <c r="D335" s="19" t="str">
        <f t="shared" si="0"/>
        <v>https://kokusho.nijl.ac.jp/biblio/100314627/71</v>
      </c>
      <c r="E335" s="22"/>
      <c r="F335" s="22"/>
      <c r="G335" s="22"/>
    </row>
    <row r="336" spans="1:7" x14ac:dyDescent="0.15">
      <c r="A336" s="27" t="s">
        <v>8648</v>
      </c>
      <c r="B336" s="19" t="s">
        <v>5622</v>
      </c>
      <c r="C336" s="22"/>
      <c r="D336" s="19" t="str">
        <f t="shared" si="0"/>
        <v>https://kokusho.nijl.ac.jp/biblio/100314627/71</v>
      </c>
      <c r="E336" s="22"/>
      <c r="F336" s="22"/>
      <c r="G336" s="22"/>
    </row>
    <row r="337" spans="1:7" x14ac:dyDescent="0.15">
      <c r="A337" s="27" t="s">
        <v>8648</v>
      </c>
      <c r="B337" s="19" t="s">
        <v>6836</v>
      </c>
      <c r="C337" s="22"/>
      <c r="D337" s="19" t="str">
        <f t="shared" si="0"/>
        <v>https://kokusho.nijl.ac.jp/biblio/100314627/71</v>
      </c>
      <c r="E337" s="22"/>
      <c r="F337" s="22"/>
      <c r="G337" s="22"/>
    </row>
    <row r="338" spans="1:7" x14ac:dyDescent="0.15">
      <c r="A338" s="27" t="s">
        <v>8648</v>
      </c>
      <c r="B338" s="19" t="s">
        <v>8656</v>
      </c>
      <c r="C338" s="22"/>
      <c r="D338" s="19" t="str">
        <f t="shared" si="0"/>
        <v>https://kokusho.nijl.ac.jp/biblio/100314627/71</v>
      </c>
      <c r="E338" s="22"/>
      <c r="F338" s="22"/>
      <c r="G338" s="22"/>
    </row>
    <row r="339" spans="1:7" x14ac:dyDescent="0.15">
      <c r="A339" s="27" t="s">
        <v>8648</v>
      </c>
      <c r="B339" s="19" t="s">
        <v>8657</v>
      </c>
      <c r="C339" s="22"/>
      <c r="D339" s="19" t="str">
        <f t="shared" si="0"/>
        <v>https://kokusho.nijl.ac.jp/biblio/100314627/71</v>
      </c>
      <c r="E339" s="22"/>
      <c r="F339" s="22"/>
      <c r="G339" s="22"/>
    </row>
    <row r="340" spans="1:7" x14ac:dyDescent="0.15">
      <c r="A340" s="27" t="s">
        <v>8648</v>
      </c>
      <c r="B340" s="20" t="s">
        <v>8658</v>
      </c>
      <c r="C340" s="22"/>
      <c r="D340" s="19" t="str">
        <f t="shared" si="0"/>
        <v>https://kokusho.nijl.ac.jp/biblio/100314627/71</v>
      </c>
      <c r="E340" s="22"/>
      <c r="F340" s="22"/>
      <c r="G340" s="22"/>
    </row>
    <row r="341" spans="1:7" x14ac:dyDescent="0.15">
      <c r="A341" s="27" t="s">
        <v>8648</v>
      </c>
      <c r="B341" s="19" t="s">
        <v>8659</v>
      </c>
      <c r="C341" s="22"/>
      <c r="D341" s="19" t="str">
        <f t="shared" ref="D341:D350" si="1">HYPERLINK("https://kokusho.nijl.ac.jp/biblio/100314627/72")</f>
        <v>https://kokusho.nijl.ac.jp/biblio/100314627/72</v>
      </c>
      <c r="E341" s="22"/>
      <c r="F341" s="22"/>
      <c r="G341" s="22"/>
    </row>
    <row r="342" spans="1:7" x14ac:dyDescent="0.15">
      <c r="A342" s="27" t="s">
        <v>8648</v>
      </c>
      <c r="B342" s="19" t="s">
        <v>6885</v>
      </c>
      <c r="C342" s="22"/>
      <c r="D342" s="19" t="str">
        <f t="shared" si="1"/>
        <v>https://kokusho.nijl.ac.jp/biblio/100314627/72</v>
      </c>
      <c r="E342" s="22"/>
      <c r="F342" s="22"/>
      <c r="G342" s="22"/>
    </row>
    <row r="343" spans="1:7" x14ac:dyDescent="0.15">
      <c r="A343" s="27" t="s">
        <v>8648</v>
      </c>
      <c r="B343" s="19" t="s">
        <v>6878</v>
      </c>
      <c r="C343" s="22"/>
      <c r="D343" s="19" t="str">
        <f t="shared" si="1"/>
        <v>https://kokusho.nijl.ac.jp/biblio/100314627/72</v>
      </c>
      <c r="E343" s="22"/>
      <c r="F343" s="22"/>
      <c r="G343" s="22"/>
    </row>
    <row r="344" spans="1:7" x14ac:dyDescent="0.15">
      <c r="A344" s="27" t="s">
        <v>8648</v>
      </c>
      <c r="B344" s="20" t="s">
        <v>8660</v>
      </c>
      <c r="C344" s="22"/>
      <c r="D344" s="19" t="str">
        <f t="shared" si="1"/>
        <v>https://kokusho.nijl.ac.jp/biblio/100314627/72</v>
      </c>
      <c r="E344" s="22"/>
      <c r="F344" s="22"/>
      <c r="G344" s="22"/>
    </row>
    <row r="345" spans="1:7" x14ac:dyDescent="0.15">
      <c r="A345" s="27" t="s">
        <v>8648</v>
      </c>
      <c r="B345" s="19" t="s">
        <v>6918</v>
      </c>
      <c r="C345" s="22"/>
      <c r="D345" s="19" t="str">
        <f t="shared" si="1"/>
        <v>https://kokusho.nijl.ac.jp/biblio/100314627/72</v>
      </c>
      <c r="E345" s="22"/>
      <c r="F345" s="22"/>
      <c r="G345" s="22"/>
    </row>
    <row r="346" spans="1:7" x14ac:dyDescent="0.15">
      <c r="A346" s="27" t="s">
        <v>8648</v>
      </c>
      <c r="B346" s="19" t="s">
        <v>6893</v>
      </c>
      <c r="C346" s="22"/>
      <c r="D346" s="19" t="str">
        <f t="shared" si="1"/>
        <v>https://kokusho.nijl.ac.jp/biblio/100314627/72</v>
      </c>
      <c r="E346" s="22"/>
      <c r="F346" s="22"/>
      <c r="G346" s="22"/>
    </row>
    <row r="347" spans="1:7" x14ac:dyDescent="0.15">
      <c r="A347" s="27" t="s">
        <v>8648</v>
      </c>
      <c r="B347" s="19" t="s">
        <v>6369</v>
      </c>
      <c r="C347" s="22"/>
      <c r="D347" s="19" t="str">
        <f t="shared" si="1"/>
        <v>https://kokusho.nijl.ac.jp/biblio/100314627/72</v>
      </c>
      <c r="E347" s="22"/>
      <c r="F347" s="22"/>
      <c r="G347" s="22"/>
    </row>
    <row r="348" spans="1:7" x14ac:dyDescent="0.15">
      <c r="A348" s="27" t="s">
        <v>8648</v>
      </c>
      <c r="B348" s="19" t="s">
        <v>6396</v>
      </c>
      <c r="C348" s="22"/>
      <c r="D348" s="19" t="str">
        <f t="shared" si="1"/>
        <v>https://kokusho.nijl.ac.jp/biblio/100314627/72</v>
      </c>
      <c r="E348" s="22"/>
      <c r="F348" s="22"/>
      <c r="G348" s="22"/>
    </row>
    <row r="349" spans="1:7" x14ac:dyDescent="0.15">
      <c r="A349" s="27" t="s">
        <v>8648</v>
      </c>
      <c r="B349" s="19" t="s">
        <v>8661</v>
      </c>
      <c r="C349" s="22"/>
      <c r="D349" s="19" t="str">
        <f t="shared" si="1"/>
        <v>https://kokusho.nijl.ac.jp/biblio/100314627/72</v>
      </c>
      <c r="E349" s="22"/>
      <c r="F349" s="22"/>
      <c r="G349" s="22"/>
    </row>
    <row r="350" spans="1:7" x14ac:dyDescent="0.15">
      <c r="A350" s="27" t="s">
        <v>8648</v>
      </c>
      <c r="B350" s="19" t="s">
        <v>6951</v>
      </c>
      <c r="C350" s="22"/>
      <c r="D350" s="19" t="str">
        <f t="shared" si="1"/>
        <v>https://kokusho.nijl.ac.jp/biblio/100314627/72</v>
      </c>
      <c r="E350" s="22"/>
      <c r="F350" s="22"/>
      <c r="G350" s="22"/>
    </row>
    <row r="351" spans="1:7" x14ac:dyDescent="0.15">
      <c r="A351" s="27" t="s">
        <v>8648</v>
      </c>
      <c r="B351" s="19" t="s">
        <v>8662</v>
      </c>
      <c r="C351" s="22"/>
      <c r="D351" s="19" t="str">
        <f t="shared" ref="D351:D360" si="2">HYPERLINK("https://kokusho.nijl.ac.jp/biblio/100314627/73")</f>
        <v>https://kokusho.nijl.ac.jp/biblio/100314627/73</v>
      </c>
      <c r="E351" s="22"/>
      <c r="F351" s="22"/>
      <c r="G351" s="22"/>
    </row>
    <row r="352" spans="1:7" x14ac:dyDescent="0.15">
      <c r="A352" s="27" t="s">
        <v>8648</v>
      </c>
      <c r="B352" s="19" t="s">
        <v>8663</v>
      </c>
      <c r="C352" s="22"/>
      <c r="D352" s="19" t="str">
        <f t="shared" si="2"/>
        <v>https://kokusho.nijl.ac.jp/biblio/100314627/73</v>
      </c>
      <c r="E352" s="22"/>
      <c r="F352" s="22"/>
      <c r="G352" s="22"/>
    </row>
    <row r="353" spans="1:7" x14ac:dyDescent="0.15">
      <c r="A353" s="27" t="s">
        <v>8648</v>
      </c>
      <c r="B353" s="19" t="s">
        <v>8664</v>
      </c>
      <c r="C353" s="22"/>
      <c r="D353" s="19" t="str">
        <f t="shared" si="2"/>
        <v>https://kokusho.nijl.ac.jp/biblio/100314627/73</v>
      </c>
      <c r="E353" s="22"/>
      <c r="F353" s="22"/>
      <c r="G353" s="22"/>
    </row>
    <row r="354" spans="1:7" x14ac:dyDescent="0.15">
      <c r="A354" s="27" t="s">
        <v>8648</v>
      </c>
      <c r="B354" s="19" t="s">
        <v>8665</v>
      </c>
      <c r="C354" s="22"/>
      <c r="D354" s="19" t="str">
        <f t="shared" si="2"/>
        <v>https://kokusho.nijl.ac.jp/biblio/100314627/73</v>
      </c>
      <c r="E354" s="22"/>
      <c r="F354" s="22"/>
      <c r="G354" s="22"/>
    </row>
    <row r="355" spans="1:7" x14ac:dyDescent="0.15">
      <c r="A355" s="27" t="s">
        <v>8648</v>
      </c>
      <c r="B355" s="19" t="s">
        <v>8666</v>
      </c>
      <c r="C355" s="22"/>
      <c r="D355" s="19" t="str">
        <f t="shared" si="2"/>
        <v>https://kokusho.nijl.ac.jp/biblio/100314627/73</v>
      </c>
      <c r="E355" s="22"/>
      <c r="F355" s="22"/>
      <c r="G355" s="22"/>
    </row>
    <row r="356" spans="1:7" x14ac:dyDescent="0.15">
      <c r="A356" s="27" t="s">
        <v>8648</v>
      </c>
      <c r="B356" s="19" t="s">
        <v>6410</v>
      </c>
      <c r="C356" s="22"/>
      <c r="D356" s="19" t="str">
        <f t="shared" si="2"/>
        <v>https://kokusho.nijl.ac.jp/biblio/100314627/73</v>
      </c>
      <c r="E356" s="22"/>
      <c r="F356" s="22"/>
      <c r="G356" s="22"/>
    </row>
    <row r="357" spans="1:7" x14ac:dyDescent="0.15">
      <c r="A357" s="27" t="s">
        <v>8648</v>
      </c>
      <c r="B357" s="19" t="s">
        <v>8667</v>
      </c>
      <c r="C357" s="22"/>
      <c r="D357" s="19" t="str">
        <f t="shared" si="2"/>
        <v>https://kokusho.nijl.ac.jp/biblio/100314627/73</v>
      </c>
      <c r="E357" s="22"/>
      <c r="F357" s="22"/>
      <c r="G357" s="22"/>
    </row>
    <row r="358" spans="1:7" x14ac:dyDescent="0.15">
      <c r="A358" s="27" t="s">
        <v>8648</v>
      </c>
      <c r="B358" s="19" t="s">
        <v>8668</v>
      </c>
      <c r="C358" s="22"/>
      <c r="D358" s="19" t="str">
        <f t="shared" si="2"/>
        <v>https://kokusho.nijl.ac.jp/biblio/100314627/73</v>
      </c>
      <c r="E358" s="22"/>
      <c r="F358" s="22"/>
      <c r="G358" s="22"/>
    </row>
    <row r="359" spans="1:7" x14ac:dyDescent="0.15">
      <c r="A359" s="27" t="s">
        <v>8648</v>
      </c>
      <c r="B359" s="19" t="s">
        <v>8669</v>
      </c>
      <c r="C359" s="22"/>
      <c r="D359" s="19" t="str">
        <f t="shared" si="2"/>
        <v>https://kokusho.nijl.ac.jp/biblio/100314627/73</v>
      </c>
      <c r="E359" s="22"/>
      <c r="F359" s="22"/>
      <c r="G359" s="22"/>
    </row>
    <row r="360" spans="1:7" x14ac:dyDescent="0.15">
      <c r="A360" s="27" t="s">
        <v>8648</v>
      </c>
      <c r="B360" s="19" t="s">
        <v>8670</v>
      </c>
      <c r="C360" s="22"/>
      <c r="D360" s="19" t="str">
        <f t="shared" si="2"/>
        <v>https://kokusho.nijl.ac.jp/biblio/100314627/73</v>
      </c>
      <c r="E360" s="22"/>
      <c r="F360" s="22"/>
      <c r="G360" s="22"/>
    </row>
    <row r="361" spans="1:7" x14ac:dyDescent="0.15">
      <c r="A361" s="27" t="s">
        <v>8648</v>
      </c>
      <c r="B361" s="19" t="s">
        <v>6952</v>
      </c>
      <c r="C361" s="22"/>
      <c r="D361" s="19" t="str">
        <f t="shared" ref="D361:D375" si="3">HYPERLINK("https://kokusho.nijl.ac.jp/biblio/100314627/74")</f>
        <v>https://kokusho.nijl.ac.jp/biblio/100314627/74</v>
      </c>
      <c r="E361" s="22"/>
      <c r="F361" s="22"/>
      <c r="G361" s="22"/>
    </row>
    <row r="362" spans="1:7" x14ac:dyDescent="0.15">
      <c r="A362" s="27" t="s">
        <v>8648</v>
      </c>
      <c r="B362" s="19" t="s">
        <v>8671</v>
      </c>
      <c r="C362" s="22"/>
      <c r="D362" s="19" t="str">
        <f t="shared" si="3"/>
        <v>https://kokusho.nijl.ac.jp/biblio/100314627/74</v>
      </c>
      <c r="E362" s="22"/>
      <c r="F362" s="22"/>
      <c r="G362" s="22"/>
    </row>
    <row r="363" spans="1:7" x14ac:dyDescent="0.15">
      <c r="A363" s="27" t="s">
        <v>8648</v>
      </c>
      <c r="B363" s="20" t="s">
        <v>8672</v>
      </c>
      <c r="C363" s="22"/>
      <c r="D363" s="19" t="str">
        <f t="shared" si="3"/>
        <v>https://kokusho.nijl.ac.jp/biblio/100314627/74</v>
      </c>
      <c r="E363" s="22"/>
      <c r="F363" s="22"/>
      <c r="G363" s="22"/>
    </row>
    <row r="364" spans="1:7" x14ac:dyDescent="0.15">
      <c r="A364" s="27" t="s">
        <v>8648</v>
      </c>
      <c r="B364" s="19" t="s">
        <v>8673</v>
      </c>
      <c r="C364" s="22"/>
      <c r="D364" s="19" t="str">
        <f t="shared" si="3"/>
        <v>https://kokusho.nijl.ac.jp/biblio/100314627/74</v>
      </c>
      <c r="E364" s="22"/>
      <c r="F364" s="22"/>
      <c r="G364" s="22"/>
    </row>
    <row r="365" spans="1:7" x14ac:dyDescent="0.15">
      <c r="A365" s="27" t="s">
        <v>8648</v>
      </c>
      <c r="B365" s="19" t="s">
        <v>6974</v>
      </c>
      <c r="C365" s="22"/>
      <c r="D365" s="19" t="str">
        <f t="shared" si="3"/>
        <v>https://kokusho.nijl.ac.jp/biblio/100314627/74</v>
      </c>
      <c r="E365" s="22"/>
      <c r="F365" s="22"/>
      <c r="G365" s="22"/>
    </row>
    <row r="366" spans="1:7" x14ac:dyDescent="0.15">
      <c r="A366" s="27" t="s">
        <v>8648</v>
      </c>
      <c r="B366" s="19" t="s">
        <v>5969</v>
      </c>
      <c r="C366" s="22"/>
      <c r="D366" s="19" t="str">
        <f t="shared" si="3"/>
        <v>https://kokusho.nijl.ac.jp/biblio/100314627/74</v>
      </c>
      <c r="E366" s="22"/>
      <c r="F366" s="22"/>
      <c r="G366" s="22"/>
    </row>
    <row r="367" spans="1:7" x14ac:dyDescent="0.15">
      <c r="A367" s="27" t="s">
        <v>8648</v>
      </c>
      <c r="B367" s="19" t="s">
        <v>8674</v>
      </c>
      <c r="C367" s="22"/>
      <c r="D367" s="19" t="str">
        <f t="shared" si="3"/>
        <v>https://kokusho.nijl.ac.jp/biblio/100314627/74</v>
      </c>
      <c r="E367" s="22"/>
      <c r="F367" s="22"/>
      <c r="G367" s="22"/>
    </row>
    <row r="368" spans="1:7" x14ac:dyDescent="0.15">
      <c r="A368" s="27" t="s">
        <v>8648</v>
      </c>
      <c r="B368" s="19" t="s">
        <v>8675</v>
      </c>
      <c r="C368" s="22"/>
      <c r="D368" s="19" t="str">
        <f t="shared" si="3"/>
        <v>https://kokusho.nijl.ac.jp/biblio/100314627/74</v>
      </c>
      <c r="E368" s="22"/>
      <c r="F368" s="22"/>
      <c r="G368" s="22"/>
    </row>
    <row r="369" spans="1:7" x14ac:dyDescent="0.15">
      <c r="A369" s="27" t="s">
        <v>8648</v>
      </c>
      <c r="B369" s="19" t="s">
        <v>8676</v>
      </c>
      <c r="C369" s="22"/>
      <c r="D369" s="19" t="str">
        <f t="shared" si="3"/>
        <v>https://kokusho.nijl.ac.jp/biblio/100314627/74</v>
      </c>
      <c r="E369" s="22"/>
      <c r="F369" s="22"/>
      <c r="G369" s="22"/>
    </row>
    <row r="370" spans="1:7" x14ac:dyDescent="0.15">
      <c r="A370" s="27" t="s">
        <v>8648</v>
      </c>
      <c r="B370" s="19" t="s">
        <v>6971</v>
      </c>
      <c r="C370" s="22"/>
      <c r="D370" s="19" t="str">
        <f t="shared" si="3"/>
        <v>https://kokusho.nijl.ac.jp/biblio/100314627/74</v>
      </c>
      <c r="E370" s="22"/>
      <c r="F370" s="22"/>
      <c r="G370" s="22"/>
    </row>
    <row r="371" spans="1:7" x14ac:dyDescent="0.15">
      <c r="A371" s="27" t="s">
        <v>8648</v>
      </c>
      <c r="B371" s="19" t="s">
        <v>8677</v>
      </c>
      <c r="C371" s="22"/>
      <c r="D371" s="19" t="str">
        <f t="shared" si="3"/>
        <v>https://kokusho.nijl.ac.jp/biblio/100314627/74</v>
      </c>
      <c r="E371" s="22"/>
      <c r="F371" s="22"/>
      <c r="G371" s="22"/>
    </row>
    <row r="372" spans="1:7" x14ac:dyDescent="0.15">
      <c r="A372" s="27" t="s">
        <v>8648</v>
      </c>
      <c r="B372" s="20" t="s">
        <v>8678</v>
      </c>
      <c r="C372" s="22"/>
      <c r="D372" s="19" t="str">
        <f t="shared" si="3"/>
        <v>https://kokusho.nijl.ac.jp/biblio/100314627/74</v>
      </c>
      <c r="E372" s="22"/>
      <c r="F372" s="22"/>
      <c r="G372" s="22"/>
    </row>
    <row r="373" spans="1:7" x14ac:dyDescent="0.15">
      <c r="A373" s="27" t="s">
        <v>8648</v>
      </c>
      <c r="B373" s="19" t="s">
        <v>8679</v>
      </c>
      <c r="C373" s="22"/>
      <c r="D373" s="19" t="str">
        <f t="shared" si="3"/>
        <v>https://kokusho.nijl.ac.jp/biblio/100314627/74</v>
      </c>
      <c r="E373" s="22"/>
      <c r="F373" s="22"/>
      <c r="G373" s="22"/>
    </row>
    <row r="374" spans="1:7" x14ac:dyDescent="0.15">
      <c r="A374" s="27" t="s">
        <v>8648</v>
      </c>
      <c r="B374" s="19" t="s">
        <v>8680</v>
      </c>
      <c r="C374" s="22"/>
      <c r="D374" s="19" t="str">
        <f t="shared" si="3"/>
        <v>https://kokusho.nijl.ac.jp/biblio/100314627/74</v>
      </c>
      <c r="E374" s="22"/>
      <c r="F374" s="22"/>
      <c r="G374" s="22"/>
    </row>
    <row r="375" spans="1:7" x14ac:dyDescent="0.15">
      <c r="A375" s="27" t="s">
        <v>8648</v>
      </c>
      <c r="B375" s="19" t="s">
        <v>8542</v>
      </c>
      <c r="C375" s="22"/>
      <c r="D375" s="19" t="str">
        <f t="shared" si="3"/>
        <v>https://kokusho.nijl.ac.jp/biblio/100314627/74</v>
      </c>
      <c r="E375" s="22"/>
      <c r="F375" s="22"/>
      <c r="G375" s="22"/>
    </row>
    <row r="376" spans="1:7" x14ac:dyDescent="0.15">
      <c r="A376" s="27" t="s">
        <v>8648</v>
      </c>
      <c r="B376" s="19" t="s">
        <v>8681</v>
      </c>
      <c r="C376" s="22"/>
      <c r="D376" s="19" t="str">
        <f t="shared" ref="D376:D389" si="4">HYPERLINK("https://kokusho.nijl.ac.jp/biblio/100314627/75")</f>
        <v>https://kokusho.nijl.ac.jp/biblio/100314627/75</v>
      </c>
      <c r="E376" s="22"/>
      <c r="F376" s="22"/>
      <c r="G376" s="22"/>
    </row>
    <row r="377" spans="1:7" x14ac:dyDescent="0.15">
      <c r="A377" s="27" t="s">
        <v>8648</v>
      </c>
      <c r="B377" s="20" t="s">
        <v>8682</v>
      </c>
      <c r="C377" s="22"/>
      <c r="D377" s="19" t="str">
        <f t="shared" si="4"/>
        <v>https://kokusho.nijl.ac.jp/biblio/100314627/75</v>
      </c>
      <c r="E377" s="22"/>
      <c r="F377" s="22"/>
      <c r="G377" s="22"/>
    </row>
    <row r="378" spans="1:7" x14ac:dyDescent="0.15">
      <c r="A378" s="27" t="s">
        <v>8648</v>
      </c>
      <c r="B378" s="19" t="s">
        <v>6490</v>
      </c>
      <c r="C378" s="22"/>
      <c r="D378" s="19" t="str">
        <f t="shared" si="4"/>
        <v>https://kokusho.nijl.ac.jp/biblio/100314627/75</v>
      </c>
      <c r="E378" s="22"/>
      <c r="F378" s="22"/>
      <c r="G378" s="22"/>
    </row>
    <row r="379" spans="1:7" x14ac:dyDescent="0.15">
      <c r="A379" s="27" t="s">
        <v>8648</v>
      </c>
      <c r="B379" s="19" t="s">
        <v>8683</v>
      </c>
      <c r="C379" s="22"/>
      <c r="D379" s="19" t="str">
        <f t="shared" si="4"/>
        <v>https://kokusho.nijl.ac.jp/biblio/100314627/75</v>
      </c>
      <c r="E379" s="22"/>
      <c r="F379" s="22"/>
      <c r="G379" s="22"/>
    </row>
    <row r="380" spans="1:7" x14ac:dyDescent="0.15">
      <c r="A380" s="27" t="s">
        <v>8648</v>
      </c>
      <c r="B380" s="19" t="s">
        <v>7044</v>
      </c>
      <c r="C380" s="22"/>
      <c r="D380" s="19" t="str">
        <f t="shared" si="4"/>
        <v>https://kokusho.nijl.ac.jp/biblio/100314627/75</v>
      </c>
      <c r="E380" s="22"/>
      <c r="F380" s="22"/>
      <c r="G380" s="22"/>
    </row>
    <row r="381" spans="1:7" x14ac:dyDescent="0.15">
      <c r="A381" s="27" t="s">
        <v>8648</v>
      </c>
      <c r="B381" s="19" t="s">
        <v>6506</v>
      </c>
      <c r="C381" s="22"/>
      <c r="D381" s="19" t="str">
        <f t="shared" si="4"/>
        <v>https://kokusho.nijl.ac.jp/biblio/100314627/75</v>
      </c>
      <c r="E381" s="22"/>
      <c r="F381" s="22"/>
      <c r="G381" s="22"/>
    </row>
    <row r="382" spans="1:7" x14ac:dyDescent="0.15">
      <c r="A382" s="27" t="s">
        <v>8648</v>
      </c>
      <c r="B382" s="19" t="s">
        <v>8684</v>
      </c>
      <c r="C382" s="22"/>
      <c r="D382" s="19" t="str">
        <f t="shared" si="4"/>
        <v>https://kokusho.nijl.ac.jp/biblio/100314627/75</v>
      </c>
      <c r="E382" s="22"/>
      <c r="F382" s="22"/>
      <c r="G382" s="22"/>
    </row>
    <row r="383" spans="1:7" x14ac:dyDescent="0.15">
      <c r="A383" s="27" t="s">
        <v>8648</v>
      </c>
      <c r="B383" s="19" t="s">
        <v>6498</v>
      </c>
      <c r="C383" s="22"/>
      <c r="D383" s="19" t="str">
        <f t="shared" si="4"/>
        <v>https://kokusho.nijl.ac.jp/biblio/100314627/75</v>
      </c>
      <c r="E383" s="22"/>
      <c r="F383" s="22"/>
      <c r="G383" s="22"/>
    </row>
    <row r="384" spans="1:7" x14ac:dyDescent="0.15">
      <c r="A384" s="27" t="s">
        <v>8648</v>
      </c>
      <c r="B384" s="19" t="s">
        <v>7039</v>
      </c>
      <c r="C384" s="22"/>
      <c r="D384" s="19" t="str">
        <f t="shared" si="4"/>
        <v>https://kokusho.nijl.ac.jp/biblio/100314627/75</v>
      </c>
      <c r="E384" s="22"/>
      <c r="F384" s="22"/>
      <c r="G384" s="22"/>
    </row>
    <row r="385" spans="1:7" x14ac:dyDescent="0.15">
      <c r="A385" s="27" t="s">
        <v>8648</v>
      </c>
      <c r="B385" s="19" t="s">
        <v>8685</v>
      </c>
      <c r="C385" s="22"/>
      <c r="D385" s="19" t="str">
        <f t="shared" si="4"/>
        <v>https://kokusho.nijl.ac.jp/biblio/100314627/75</v>
      </c>
      <c r="E385" s="22"/>
      <c r="F385" s="22"/>
      <c r="G385" s="22"/>
    </row>
    <row r="386" spans="1:7" x14ac:dyDescent="0.15">
      <c r="A386" s="27" t="s">
        <v>8648</v>
      </c>
      <c r="B386" s="20" t="s">
        <v>8686</v>
      </c>
      <c r="C386" s="22"/>
      <c r="D386" s="19" t="str">
        <f t="shared" si="4"/>
        <v>https://kokusho.nijl.ac.jp/biblio/100314627/75</v>
      </c>
      <c r="E386" s="22"/>
      <c r="F386" s="22"/>
      <c r="G386" s="22"/>
    </row>
    <row r="387" spans="1:7" x14ac:dyDescent="0.15">
      <c r="A387" s="27" t="s">
        <v>8648</v>
      </c>
      <c r="B387" s="19" t="s">
        <v>8687</v>
      </c>
      <c r="C387" s="22"/>
      <c r="D387" s="19" t="str">
        <f t="shared" si="4"/>
        <v>https://kokusho.nijl.ac.jp/biblio/100314627/75</v>
      </c>
      <c r="E387" s="22"/>
      <c r="F387" s="22"/>
      <c r="G387" s="22"/>
    </row>
    <row r="388" spans="1:7" x14ac:dyDescent="0.15">
      <c r="A388" s="27" t="s">
        <v>8648</v>
      </c>
      <c r="B388" s="19" t="s">
        <v>8688</v>
      </c>
      <c r="C388" s="22"/>
      <c r="D388" s="19" t="str">
        <f t="shared" si="4"/>
        <v>https://kokusho.nijl.ac.jp/biblio/100314627/75</v>
      </c>
      <c r="E388" s="22"/>
      <c r="F388" s="22"/>
      <c r="G388" s="22"/>
    </row>
    <row r="389" spans="1:7" x14ac:dyDescent="0.15">
      <c r="A389" s="27" t="s">
        <v>8648</v>
      </c>
      <c r="B389" s="19" t="s">
        <v>7068</v>
      </c>
      <c r="C389" s="22"/>
      <c r="D389" s="19" t="str">
        <f t="shared" si="4"/>
        <v>https://kokusho.nijl.ac.jp/biblio/100314627/75</v>
      </c>
      <c r="E389" s="22"/>
      <c r="F389" s="22"/>
      <c r="G389" s="22"/>
    </row>
    <row r="390" spans="1:7" x14ac:dyDescent="0.15">
      <c r="A390" s="27" t="s">
        <v>8648</v>
      </c>
      <c r="B390" s="19" t="s">
        <v>7066</v>
      </c>
      <c r="C390" s="22"/>
      <c r="D390" s="19" t="str">
        <f t="shared" ref="D390:D398" si="5">HYPERLINK("https://kokusho.nijl.ac.jp/biblio/100314627/76")</f>
        <v>https://kokusho.nijl.ac.jp/biblio/100314627/76</v>
      </c>
      <c r="E390" s="22"/>
      <c r="F390" s="22"/>
      <c r="G390" s="22"/>
    </row>
    <row r="391" spans="1:7" x14ac:dyDescent="0.15">
      <c r="A391" s="27" t="s">
        <v>8648</v>
      </c>
      <c r="B391" s="19" t="s">
        <v>8545</v>
      </c>
      <c r="C391" s="22"/>
      <c r="D391" s="19" t="str">
        <f t="shared" si="5"/>
        <v>https://kokusho.nijl.ac.jp/biblio/100314627/76</v>
      </c>
      <c r="E391" s="22"/>
      <c r="F391" s="22"/>
      <c r="G391" s="22"/>
    </row>
    <row r="392" spans="1:7" x14ac:dyDescent="0.15">
      <c r="A392" s="27" t="s">
        <v>8648</v>
      </c>
      <c r="B392" s="19" t="s">
        <v>8689</v>
      </c>
      <c r="C392" s="22"/>
      <c r="D392" s="19" t="str">
        <f t="shared" si="5"/>
        <v>https://kokusho.nijl.ac.jp/biblio/100314627/76</v>
      </c>
      <c r="E392" s="22"/>
      <c r="F392" s="22"/>
      <c r="G392" s="22"/>
    </row>
    <row r="393" spans="1:7" x14ac:dyDescent="0.15">
      <c r="A393" s="27" t="s">
        <v>8648</v>
      </c>
      <c r="B393" s="19" t="s">
        <v>8690</v>
      </c>
      <c r="C393" s="22"/>
      <c r="D393" s="19" t="str">
        <f t="shared" si="5"/>
        <v>https://kokusho.nijl.ac.jp/biblio/100314627/76</v>
      </c>
      <c r="E393" s="22"/>
      <c r="F393" s="22"/>
      <c r="G393" s="22"/>
    </row>
    <row r="394" spans="1:7" x14ac:dyDescent="0.15">
      <c r="A394" s="27" t="s">
        <v>8648</v>
      </c>
      <c r="B394" s="20" t="s">
        <v>8691</v>
      </c>
      <c r="C394" s="22"/>
      <c r="D394" s="19" t="str">
        <f t="shared" si="5"/>
        <v>https://kokusho.nijl.ac.jp/biblio/100314627/76</v>
      </c>
      <c r="E394" s="22"/>
      <c r="F394" s="22"/>
      <c r="G394" s="22"/>
    </row>
    <row r="395" spans="1:7" x14ac:dyDescent="0.15">
      <c r="A395" s="27" t="s">
        <v>8648</v>
      </c>
      <c r="B395" s="19" t="s">
        <v>8692</v>
      </c>
      <c r="C395" s="22"/>
      <c r="D395" s="19" t="str">
        <f t="shared" si="5"/>
        <v>https://kokusho.nijl.ac.jp/biblio/100314627/76</v>
      </c>
      <c r="E395" s="22"/>
      <c r="F395" s="22"/>
      <c r="G395" s="22"/>
    </row>
    <row r="396" spans="1:7" x14ac:dyDescent="0.15">
      <c r="A396" s="27" t="s">
        <v>8648</v>
      </c>
      <c r="B396" s="19" t="s">
        <v>7144</v>
      </c>
      <c r="C396" s="22"/>
      <c r="D396" s="19" t="str">
        <f t="shared" si="5"/>
        <v>https://kokusho.nijl.ac.jp/biblio/100314627/76</v>
      </c>
      <c r="E396" s="22"/>
      <c r="F396" s="22"/>
      <c r="G396" s="22"/>
    </row>
    <row r="397" spans="1:7" x14ac:dyDescent="0.15">
      <c r="A397" s="27" t="s">
        <v>8648</v>
      </c>
      <c r="B397" s="19" t="s">
        <v>8693</v>
      </c>
      <c r="C397" s="22"/>
      <c r="D397" s="19" t="str">
        <f t="shared" si="5"/>
        <v>https://kokusho.nijl.ac.jp/biblio/100314627/76</v>
      </c>
      <c r="E397" s="22"/>
      <c r="F397" s="22"/>
      <c r="G397" s="22"/>
    </row>
    <row r="398" spans="1:7" x14ac:dyDescent="0.15">
      <c r="A398" s="27" t="s">
        <v>8648</v>
      </c>
      <c r="B398" s="19" t="s">
        <v>8694</v>
      </c>
      <c r="C398" s="22"/>
      <c r="D398" s="19" t="str">
        <f t="shared" si="5"/>
        <v>https://kokusho.nijl.ac.jp/biblio/100314627/76</v>
      </c>
      <c r="E398" s="22"/>
      <c r="F398" s="22"/>
      <c r="G398" s="22"/>
    </row>
    <row r="399" spans="1:7" x14ac:dyDescent="0.15">
      <c r="A399" s="27" t="s">
        <v>8648</v>
      </c>
      <c r="B399" s="19" t="s">
        <v>8122</v>
      </c>
      <c r="C399" s="22"/>
      <c r="D399" s="28" t="str">
        <f t="shared" ref="D399:D404" si="6">HYPERLINK("https://kokusho.nijl.ac.jp/biblio/100314627/77")</f>
        <v>https://kokusho.nijl.ac.jp/biblio/100314627/77</v>
      </c>
      <c r="E399" s="22"/>
      <c r="F399" s="22"/>
      <c r="G399" s="22"/>
    </row>
    <row r="400" spans="1:7" x14ac:dyDescent="0.15">
      <c r="A400" s="27" t="s">
        <v>8648</v>
      </c>
      <c r="B400" s="19" t="s">
        <v>8695</v>
      </c>
      <c r="C400" s="22"/>
      <c r="D400" s="19" t="str">
        <f t="shared" si="6"/>
        <v>https://kokusho.nijl.ac.jp/biblio/100314627/77</v>
      </c>
      <c r="E400" s="22"/>
      <c r="F400" s="22"/>
      <c r="G400" s="22"/>
    </row>
    <row r="401" spans="1:7" x14ac:dyDescent="0.15">
      <c r="A401" s="27" t="s">
        <v>8648</v>
      </c>
      <c r="B401" s="19" t="s">
        <v>8696</v>
      </c>
      <c r="C401" s="22"/>
      <c r="D401" s="19" t="str">
        <f t="shared" si="6"/>
        <v>https://kokusho.nijl.ac.jp/biblio/100314627/77</v>
      </c>
      <c r="E401" s="22"/>
      <c r="F401" s="22"/>
      <c r="G401" s="22"/>
    </row>
    <row r="402" spans="1:7" x14ac:dyDescent="0.15">
      <c r="A402" s="27" t="s">
        <v>8648</v>
      </c>
      <c r="B402" s="19" t="s">
        <v>7154</v>
      </c>
      <c r="C402" s="22"/>
      <c r="D402" s="19" t="str">
        <f t="shared" si="6"/>
        <v>https://kokusho.nijl.ac.jp/biblio/100314627/77</v>
      </c>
      <c r="E402" s="22"/>
      <c r="F402" s="22"/>
      <c r="G402" s="22"/>
    </row>
    <row r="403" spans="1:7" x14ac:dyDescent="0.15">
      <c r="A403" s="27" t="s">
        <v>8648</v>
      </c>
      <c r="B403" s="19" t="s">
        <v>8697</v>
      </c>
      <c r="C403" s="22"/>
      <c r="D403" s="29" t="str">
        <f t="shared" si="6"/>
        <v>https://kokusho.nijl.ac.jp/biblio/100314627/77</v>
      </c>
      <c r="E403" s="22"/>
      <c r="F403" s="22"/>
      <c r="G403" s="22"/>
    </row>
    <row r="404" spans="1:7" x14ac:dyDescent="0.15">
      <c r="A404" s="27" t="s">
        <v>8648</v>
      </c>
      <c r="B404" s="19" t="s">
        <v>6243</v>
      </c>
      <c r="C404" s="22"/>
      <c r="D404" s="19" t="str">
        <f t="shared" si="6"/>
        <v>https://kokusho.nijl.ac.jp/biblio/100314627/77</v>
      </c>
      <c r="E404" s="22"/>
      <c r="F404" s="22"/>
      <c r="G404" s="22"/>
    </row>
    <row r="405" spans="1:7" x14ac:dyDescent="0.15">
      <c r="A405" s="27" t="s">
        <v>8648</v>
      </c>
      <c r="B405" s="19" t="s">
        <v>8698</v>
      </c>
      <c r="C405" s="22"/>
      <c r="D405" s="19" t="str">
        <f t="shared" ref="D405:D417" si="7">HYPERLINK("https://kokusho.nijl.ac.jp/biblio/100314627/78")</f>
        <v>https://kokusho.nijl.ac.jp/biblio/100314627/78</v>
      </c>
      <c r="E405" s="22"/>
      <c r="F405" s="22"/>
      <c r="G405" s="22"/>
    </row>
    <row r="406" spans="1:7" x14ac:dyDescent="0.15">
      <c r="A406" s="27" t="s">
        <v>8648</v>
      </c>
      <c r="B406" s="19" t="s">
        <v>8699</v>
      </c>
      <c r="C406" s="22"/>
      <c r="D406" s="19" t="str">
        <f t="shared" si="7"/>
        <v>https://kokusho.nijl.ac.jp/biblio/100314627/78</v>
      </c>
      <c r="E406" s="22"/>
      <c r="F406" s="22"/>
      <c r="G406" s="22"/>
    </row>
    <row r="407" spans="1:7" x14ac:dyDescent="0.15">
      <c r="A407" s="27" t="s">
        <v>8648</v>
      </c>
      <c r="B407" s="19" t="s">
        <v>8700</v>
      </c>
      <c r="C407" s="22"/>
      <c r="D407" s="19" t="str">
        <f t="shared" si="7"/>
        <v>https://kokusho.nijl.ac.jp/biblio/100314627/78</v>
      </c>
      <c r="E407" s="22"/>
      <c r="F407" s="22"/>
      <c r="G407" s="22"/>
    </row>
    <row r="408" spans="1:7" x14ac:dyDescent="0.15">
      <c r="A408" s="27" t="s">
        <v>8648</v>
      </c>
      <c r="B408" s="19" t="s">
        <v>6235</v>
      </c>
      <c r="C408" s="22"/>
      <c r="D408" s="19" t="str">
        <f t="shared" si="7"/>
        <v>https://kokusho.nijl.ac.jp/biblio/100314627/78</v>
      </c>
      <c r="E408" s="22"/>
      <c r="F408" s="22"/>
      <c r="G408" s="22"/>
    </row>
    <row r="409" spans="1:7" x14ac:dyDescent="0.15">
      <c r="A409" s="27" t="s">
        <v>8648</v>
      </c>
      <c r="B409" s="19" t="s">
        <v>8701</v>
      </c>
      <c r="C409" s="22"/>
      <c r="D409" s="19" t="str">
        <f t="shared" si="7"/>
        <v>https://kokusho.nijl.ac.jp/biblio/100314627/78</v>
      </c>
      <c r="E409" s="22"/>
      <c r="F409" s="22"/>
      <c r="G409" s="22"/>
    </row>
    <row r="410" spans="1:7" x14ac:dyDescent="0.15">
      <c r="A410" s="27" t="s">
        <v>8648</v>
      </c>
      <c r="B410" s="19" t="s">
        <v>8702</v>
      </c>
      <c r="C410" s="22"/>
      <c r="D410" s="19" t="str">
        <f t="shared" si="7"/>
        <v>https://kokusho.nijl.ac.jp/biblio/100314627/78</v>
      </c>
      <c r="E410" s="22"/>
      <c r="F410" s="22"/>
      <c r="G410" s="22"/>
    </row>
    <row r="411" spans="1:7" x14ac:dyDescent="0.15">
      <c r="A411" s="27" t="s">
        <v>8648</v>
      </c>
      <c r="B411" s="19" t="s">
        <v>7153</v>
      </c>
      <c r="C411" s="22"/>
      <c r="D411" s="19" t="str">
        <f t="shared" si="7"/>
        <v>https://kokusho.nijl.ac.jp/biblio/100314627/78</v>
      </c>
      <c r="E411" s="22"/>
      <c r="F411" s="22"/>
      <c r="G411" s="22"/>
    </row>
    <row r="412" spans="1:7" x14ac:dyDescent="0.15">
      <c r="A412" s="27" t="s">
        <v>8648</v>
      </c>
      <c r="B412" s="19" t="s">
        <v>6255</v>
      </c>
      <c r="C412" s="22"/>
      <c r="D412" s="19" t="str">
        <f t="shared" si="7"/>
        <v>https://kokusho.nijl.ac.jp/biblio/100314627/78</v>
      </c>
      <c r="E412" s="22"/>
      <c r="F412" s="22"/>
      <c r="G412" s="22"/>
    </row>
    <row r="413" spans="1:7" x14ac:dyDescent="0.15">
      <c r="A413" s="27" t="s">
        <v>8648</v>
      </c>
      <c r="B413" s="19" t="s">
        <v>7125</v>
      </c>
      <c r="C413" s="22"/>
      <c r="D413" s="19" t="str">
        <f t="shared" si="7"/>
        <v>https://kokusho.nijl.ac.jp/biblio/100314627/78</v>
      </c>
      <c r="E413" s="22"/>
      <c r="F413" s="22"/>
      <c r="G413" s="22"/>
    </row>
    <row r="414" spans="1:7" x14ac:dyDescent="0.15">
      <c r="A414" s="27" t="s">
        <v>8648</v>
      </c>
      <c r="B414" s="20" t="s">
        <v>8703</v>
      </c>
      <c r="C414" s="22"/>
      <c r="D414" s="19" t="str">
        <f t="shared" si="7"/>
        <v>https://kokusho.nijl.ac.jp/biblio/100314627/78</v>
      </c>
      <c r="E414" s="22"/>
      <c r="F414" s="22"/>
      <c r="G414" s="22"/>
    </row>
    <row r="415" spans="1:7" x14ac:dyDescent="0.15">
      <c r="A415" s="27" t="s">
        <v>8648</v>
      </c>
      <c r="B415" s="19" t="s">
        <v>8704</v>
      </c>
      <c r="C415" s="22"/>
      <c r="D415" s="19" t="str">
        <f t="shared" si="7"/>
        <v>https://kokusho.nijl.ac.jp/biblio/100314627/78</v>
      </c>
      <c r="E415" s="22"/>
      <c r="F415" s="22"/>
      <c r="G415" s="22"/>
    </row>
    <row r="416" spans="1:7" x14ac:dyDescent="0.15">
      <c r="A416" s="27" t="s">
        <v>8648</v>
      </c>
      <c r="B416" s="19" t="s">
        <v>8705</v>
      </c>
      <c r="C416" s="22"/>
      <c r="D416" s="19" t="str">
        <f t="shared" si="7"/>
        <v>https://kokusho.nijl.ac.jp/biblio/100314627/78</v>
      </c>
      <c r="E416" s="22"/>
      <c r="F416" s="22"/>
      <c r="G416" s="22"/>
    </row>
    <row r="417" spans="1:7" x14ac:dyDescent="0.15">
      <c r="A417" s="27" t="s">
        <v>8648</v>
      </c>
      <c r="B417" s="19" t="s">
        <v>8706</v>
      </c>
      <c r="C417" s="22"/>
      <c r="D417" s="19" t="str">
        <f t="shared" si="7"/>
        <v>https://kokusho.nijl.ac.jp/biblio/100314627/78</v>
      </c>
      <c r="E417" s="22"/>
      <c r="F417" s="22"/>
      <c r="G417" s="22"/>
    </row>
    <row r="418" spans="1:7" x14ac:dyDescent="0.15">
      <c r="A418" s="27" t="s">
        <v>8648</v>
      </c>
      <c r="B418" s="20" t="s">
        <v>8707</v>
      </c>
      <c r="C418" s="22"/>
      <c r="D418" s="19" t="str">
        <f t="shared" ref="D418:D429" si="8">HYPERLINK("https://kokusho.nijl.ac.jp/biblio/100314627/79")</f>
        <v>https://kokusho.nijl.ac.jp/biblio/100314627/79</v>
      </c>
      <c r="E418" s="22"/>
      <c r="F418" s="22"/>
      <c r="G418" s="22"/>
    </row>
    <row r="419" spans="1:7" x14ac:dyDescent="0.15">
      <c r="A419" s="27" t="s">
        <v>8648</v>
      </c>
      <c r="B419" s="19" t="s">
        <v>6594</v>
      </c>
      <c r="C419" s="22"/>
      <c r="D419" s="19" t="str">
        <f t="shared" si="8"/>
        <v>https://kokusho.nijl.ac.jp/biblio/100314627/79</v>
      </c>
      <c r="E419" s="22"/>
      <c r="F419" s="22"/>
      <c r="G419" s="22"/>
    </row>
    <row r="420" spans="1:7" x14ac:dyDescent="0.15">
      <c r="A420" s="27" t="s">
        <v>8648</v>
      </c>
      <c r="B420" s="19" t="s">
        <v>8708</v>
      </c>
      <c r="C420" s="22"/>
      <c r="D420" s="19" t="str">
        <f t="shared" si="8"/>
        <v>https://kokusho.nijl.ac.jp/biblio/100314627/79</v>
      </c>
      <c r="E420" s="22"/>
      <c r="F420" s="22"/>
      <c r="G420" s="22"/>
    </row>
    <row r="421" spans="1:7" x14ac:dyDescent="0.15">
      <c r="A421" s="27" t="s">
        <v>8648</v>
      </c>
      <c r="B421" s="20" t="s">
        <v>8709</v>
      </c>
      <c r="C421" s="22"/>
      <c r="D421" s="19" t="str">
        <f t="shared" si="8"/>
        <v>https://kokusho.nijl.ac.jp/biblio/100314627/79</v>
      </c>
      <c r="E421" s="22"/>
      <c r="F421" s="22"/>
      <c r="G421" s="22"/>
    </row>
    <row r="422" spans="1:7" x14ac:dyDescent="0.15">
      <c r="A422" s="27" t="s">
        <v>8648</v>
      </c>
      <c r="B422" s="19" t="s">
        <v>5654</v>
      </c>
      <c r="C422" s="22"/>
      <c r="D422" s="19" t="str">
        <f t="shared" si="8"/>
        <v>https://kokusho.nijl.ac.jp/biblio/100314627/79</v>
      </c>
      <c r="E422" s="22"/>
      <c r="F422" s="22"/>
      <c r="G422" s="22"/>
    </row>
    <row r="423" spans="1:7" x14ac:dyDescent="0.15">
      <c r="A423" s="27" t="s">
        <v>8648</v>
      </c>
      <c r="B423" s="19" t="s">
        <v>7189</v>
      </c>
      <c r="C423" s="22"/>
      <c r="D423" s="19" t="str">
        <f t="shared" si="8"/>
        <v>https://kokusho.nijl.ac.jp/biblio/100314627/79</v>
      </c>
      <c r="E423" s="22"/>
      <c r="F423" s="22"/>
      <c r="G423" s="22"/>
    </row>
    <row r="424" spans="1:7" x14ac:dyDescent="0.15">
      <c r="A424" s="27" t="s">
        <v>8648</v>
      </c>
      <c r="B424" s="19" t="s">
        <v>8710</v>
      </c>
      <c r="C424" s="22"/>
      <c r="D424" s="19" t="str">
        <f t="shared" si="8"/>
        <v>https://kokusho.nijl.ac.jp/biblio/100314627/79</v>
      </c>
      <c r="E424" s="22"/>
      <c r="F424" s="22"/>
      <c r="G424" s="22"/>
    </row>
    <row r="425" spans="1:7" x14ac:dyDescent="0.15">
      <c r="A425" s="27" t="s">
        <v>8648</v>
      </c>
      <c r="B425" s="19" t="s">
        <v>8711</v>
      </c>
      <c r="C425" s="22"/>
      <c r="D425" s="19" t="str">
        <f t="shared" si="8"/>
        <v>https://kokusho.nijl.ac.jp/biblio/100314627/79</v>
      </c>
      <c r="E425" s="22"/>
      <c r="F425" s="22"/>
      <c r="G425" s="22"/>
    </row>
    <row r="426" spans="1:7" x14ac:dyDescent="0.15">
      <c r="A426" s="27" t="s">
        <v>8648</v>
      </c>
      <c r="B426" s="19" t="s">
        <v>8712</v>
      </c>
      <c r="C426" s="22"/>
      <c r="D426" s="19" t="str">
        <f t="shared" si="8"/>
        <v>https://kokusho.nijl.ac.jp/biblio/100314627/79</v>
      </c>
      <c r="E426" s="22"/>
      <c r="F426" s="22"/>
      <c r="G426" s="22"/>
    </row>
    <row r="427" spans="1:7" x14ac:dyDescent="0.15">
      <c r="A427" s="27" t="s">
        <v>8648</v>
      </c>
      <c r="B427" s="19" t="s">
        <v>7184</v>
      </c>
      <c r="C427" s="22"/>
      <c r="D427" s="19" t="str">
        <f t="shared" si="8"/>
        <v>https://kokusho.nijl.ac.jp/biblio/100314627/79</v>
      </c>
      <c r="E427" s="22"/>
      <c r="F427" s="22"/>
      <c r="G427" s="22"/>
    </row>
    <row r="428" spans="1:7" x14ac:dyDescent="0.15">
      <c r="A428" s="27" t="s">
        <v>8648</v>
      </c>
      <c r="B428" s="20" t="s">
        <v>8713</v>
      </c>
      <c r="C428" s="22"/>
      <c r="D428" s="19" t="str">
        <f t="shared" si="8"/>
        <v>https://kokusho.nijl.ac.jp/biblio/100314627/79</v>
      </c>
      <c r="E428" s="22"/>
      <c r="F428" s="22"/>
      <c r="G428" s="22"/>
    </row>
    <row r="429" spans="1:7" x14ac:dyDescent="0.15">
      <c r="A429" s="27" t="s">
        <v>8648</v>
      </c>
      <c r="B429" s="19" t="s">
        <v>8714</v>
      </c>
      <c r="C429" s="22"/>
      <c r="D429" s="19" t="str">
        <f t="shared" si="8"/>
        <v>https://kokusho.nijl.ac.jp/biblio/100314627/79</v>
      </c>
      <c r="E429" s="22"/>
      <c r="F429" s="22"/>
      <c r="G429" s="22"/>
    </row>
    <row r="430" spans="1:7" x14ac:dyDescent="0.15">
      <c r="A430" s="27" t="s">
        <v>8648</v>
      </c>
      <c r="B430" s="19" t="s">
        <v>7202</v>
      </c>
      <c r="C430" s="22"/>
      <c r="D430" s="19" t="str">
        <f t="shared" ref="D430:D438" si="9">HYPERLINK("https://kokusho.nijl.ac.jp/biblio/100314627/80")</f>
        <v>https://kokusho.nijl.ac.jp/biblio/100314627/80</v>
      </c>
      <c r="E430" s="22"/>
      <c r="F430" s="22"/>
      <c r="G430" s="22"/>
    </row>
    <row r="431" spans="1:7" x14ac:dyDescent="0.15">
      <c r="A431" s="27" t="s">
        <v>8648</v>
      </c>
      <c r="B431" s="20" t="s">
        <v>8715</v>
      </c>
      <c r="C431" s="22"/>
      <c r="D431" s="19" t="str">
        <f t="shared" si="9"/>
        <v>https://kokusho.nijl.ac.jp/biblio/100314627/80</v>
      </c>
      <c r="E431" s="22"/>
      <c r="F431" s="22"/>
      <c r="G431" s="22"/>
    </row>
    <row r="432" spans="1:7" x14ac:dyDescent="0.15">
      <c r="A432" s="27" t="s">
        <v>8648</v>
      </c>
      <c r="B432" s="19" t="s">
        <v>8603</v>
      </c>
      <c r="C432" s="22"/>
      <c r="D432" s="19" t="str">
        <f t="shared" si="9"/>
        <v>https://kokusho.nijl.ac.jp/biblio/100314627/80</v>
      </c>
      <c r="E432" s="22"/>
      <c r="F432" s="22"/>
      <c r="G432" s="22"/>
    </row>
    <row r="433" spans="1:7" x14ac:dyDescent="0.15">
      <c r="A433" s="27" t="s">
        <v>8648</v>
      </c>
      <c r="B433" s="19" t="s">
        <v>7248</v>
      </c>
      <c r="C433" s="22"/>
      <c r="D433" s="19" t="str">
        <f t="shared" si="9"/>
        <v>https://kokusho.nijl.ac.jp/biblio/100314627/80</v>
      </c>
      <c r="E433" s="22"/>
      <c r="F433" s="22"/>
      <c r="G433" s="22"/>
    </row>
    <row r="434" spans="1:7" x14ac:dyDescent="0.15">
      <c r="A434" s="27" t="s">
        <v>8648</v>
      </c>
      <c r="B434" s="19" t="s">
        <v>8716</v>
      </c>
      <c r="C434" s="22"/>
      <c r="D434" s="19" t="str">
        <f t="shared" si="9"/>
        <v>https://kokusho.nijl.ac.jp/biblio/100314627/80</v>
      </c>
      <c r="E434" s="22"/>
      <c r="F434" s="22"/>
      <c r="G434" s="22"/>
    </row>
    <row r="435" spans="1:7" x14ac:dyDescent="0.15">
      <c r="A435" s="27" t="s">
        <v>8648</v>
      </c>
      <c r="B435" s="19" t="s">
        <v>8538</v>
      </c>
      <c r="C435" s="22"/>
      <c r="D435" s="19" t="str">
        <f t="shared" si="9"/>
        <v>https://kokusho.nijl.ac.jp/biblio/100314627/80</v>
      </c>
      <c r="E435" s="22"/>
      <c r="F435" s="22"/>
      <c r="G435" s="22"/>
    </row>
    <row r="436" spans="1:7" x14ac:dyDescent="0.15">
      <c r="A436" s="27" t="s">
        <v>8648</v>
      </c>
      <c r="B436" s="19" t="s">
        <v>5747</v>
      </c>
      <c r="C436" s="22"/>
      <c r="D436" s="19" t="str">
        <f t="shared" si="9"/>
        <v>https://kokusho.nijl.ac.jp/biblio/100314627/80</v>
      </c>
      <c r="E436" s="22"/>
      <c r="F436" s="22"/>
      <c r="G436" s="22"/>
    </row>
    <row r="437" spans="1:7" x14ac:dyDescent="0.15">
      <c r="A437" s="27" t="s">
        <v>8648</v>
      </c>
      <c r="B437" s="19" t="s">
        <v>8717</v>
      </c>
      <c r="C437" s="22"/>
      <c r="D437" s="19" t="str">
        <f t="shared" si="9"/>
        <v>https://kokusho.nijl.ac.jp/biblio/100314627/80</v>
      </c>
      <c r="E437" s="22"/>
      <c r="F437" s="22"/>
      <c r="G437" s="22"/>
    </row>
    <row r="438" spans="1:7" x14ac:dyDescent="0.15">
      <c r="A438" s="27" t="s">
        <v>8648</v>
      </c>
      <c r="B438" s="19" t="s">
        <v>8718</v>
      </c>
      <c r="C438" s="22"/>
      <c r="D438" s="19" t="str">
        <f t="shared" si="9"/>
        <v>https://kokusho.nijl.ac.jp/biblio/100314627/80</v>
      </c>
      <c r="E438" s="22"/>
      <c r="F438" s="22"/>
      <c r="G438" s="22"/>
    </row>
    <row r="439" spans="1:7" x14ac:dyDescent="0.15">
      <c r="A439" s="27" t="s">
        <v>8648</v>
      </c>
      <c r="B439" s="19" t="s">
        <v>8719</v>
      </c>
      <c r="C439" s="22"/>
      <c r="D439" s="19" t="str">
        <f t="shared" ref="D439:D454" si="10">HYPERLINK("https://kokusho.nijl.ac.jp/biblio/100314627/81")</f>
        <v>https://kokusho.nijl.ac.jp/biblio/100314627/81</v>
      </c>
      <c r="E439" s="22"/>
      <c r="F439" s="22"/>
      <c r="G439" s="22"/>
    </row>
    <row r="440" spans="1:7" x14ac:dyDescent="0.15">
      <c r="A440" s="27" t="s">
        <v>8648</v>
      </c>
      <c r="B440" s="19" t="s">
        <v>8720</v>
      </c>
      <c r="C440" s="22"/>
      <c r="D440" s="19" t="str">
        <f t="shared" si="10"/>
        <v>https://kokusho.nijl.ac.jp/biblio/100314627/81</v>
      </c>
      <c r="E440" s="22"/>
      <c r="F440" s="22"/>
      <c r="G440" s="22"/>
    </row>
    <row r="441" spans="1:7" x14ac:dyDescent="0.15">
      <c r="A441" s="27" t="s">
        <v>8648</v>
      </c>
      <c r="B441" s="19" t="s">
        <v>8721</v>
      </c>
      <c r="C441" s="22"/>
      <c r="D441" s="19" t="str">
        <f t="shared" si="10"/>
        <v>https://kokusho.nijl.ac.jp/biblio/100314627/81</v>
      </c>
      <c r="E441" s="22"/>
      <c r="F441" s="22"/>
      <c r="G441" s="22"/>
    </row>
    <row r="442" spans="1:7" x14ac:dyDescent="0.15">
      <c r="A442" s="27" t="s">
        <v>8648</v>
      </c>
      <c r="B442" s="19" t="s">
        <v>8722</v>
      </c>
      <c r="C442" s="22"/>
      <c r="D442" s="19" t="str">
        <f t="shared" si="10"/>
        <v>https://kokusho.nijl.ac.jp/biblio/100314627/81</v>
      </c>
      <c r="E442" s="22"/>
      <c r="F442" s="22"/>
      <c r="G442" s="22"/>
    </row>
    <row r="443" spans="1:7" x14ac:dyDescent="0.15">
      <c r="A443" s="27" t="s">
        <v>8648</v>
      </c>
      <c r="B443" s="19" t="s">
        <v>7235</v>
      </c>
      <c r="C443" s="22"/>
      <c r="D443" s="19" t="str">
        <f t="shared" si="10"/>
        <v>https://kokusho.nijl.ac.jp/biblio/100314627/81</v>
      </c>
      <c r="E443" s="22"/>
      <c r="F443" s="22"/>
      <c r="G443" s="22"/>
    </row>
    <row r="444" spans="1:7" x14ac:dyDescent="0.15">
      <c r="A444" s="27" t="s">
        <v>8648</v>
      </c>
      <c r="B444" s="19" t="s">
        <v>8723</v>
      </c>
      <c r="C444" s="22"/>
      <c r="D444" s="19" t="str">
        <f t="shared" si="10"/>
        <v>https://kokusho.nijl.ac.jp/biblio/100314627/81</v>
      </c>
      <c r="E444" s="22"/>
      <c r="F444" s="22"/>
      <c r="G444" s="22"/>
    </row>
    <row r="445" spans="1:7" x14ac:dyDescent="0.15">
      <c r="A445" s="27" t="s">
        <v>8648</v>
      </c>
      <c r="B445" s="19" t="s">
        <v>8724</v>
      </c>
      <c r="C445" s="22"/>
      <c r="D445" s="19" t="str">
        <f t="shared" si="10"/>
        <v>https://kokusho.nijl.ac.jp/biblio/100314627/81</v>
      </c>
      <c r="E445" s="22"/>
      <c r="F445" s="22"/>
      <c r="G445" s="22"/>
    </row>
    <row r="446" spans="1:7" x14ac:dyDescent="0.15">
      <c r="A446" s="27" t="s">
        <v>8648</v>
      </c>
      <c r="B446" s="19" t="s">
        <v>7251</v>
      </c>
      <c r="C446" s="22"/>
      <c r="D446" s="19" t="str">
        <f t="shared" si="10"/>
        <v>https://kokusho.nijl.ac.jp/biblio/100314627/81</v>
      </c>
      <c r="E446" s="22"/>
      <c r="F446" s="22"/>
      <c r="G446" s="22"/>
    </row>
    <row r="447" spans="1:7" x14ac:dyDescent="0.15">
      <c r="A447" s="27" t="s">
        <v>8648</v>
      </c>
      <c r="B447" s="19" t="s">
        <v>5666</v>
      </c>
      <c r="C447" s="22"/>
      <c r="D447" s="19" t="str">
        <f t="shared" si="10"/>
        <v>https://kokusho.nijl.ac.jp/biblio/100314627/81</v>
      </c>
      <c r="E447" s="22"/>
      <c r="F447" s="22"/>
      <c r="G447" s="22"/>
    </row>
    <row r="448" spans="1:7" x14ac:dyDescent="0.15">
      <c r="A448" s="27" t="s">
        <v>8648</v>
      </c>
      <c r="B448" s="19" t="s">
        <v>8725</v>
      </c>
      <c r="C448" s="22"/>
      <c r="D448" s="19" t="str">
        <f t="shared" si="10"/>
        <v>https://kokusho.nijl.ac.jp/biblio/100314627/81</v>
      </c>
      <c r="E448" s="22"/>
      <c r="F448" s="22"/>
      <c r="G448" s="22"/>
    </row>
    <row r="449" spans="1:7" x14ac:dyDescent="0.15">
      <c r="A449" s="27" t="s">
        <v>8648</v>
      </c>
      <c r="B449" s="19" t="s">
        <v>8726</v>
      </c>
      <c r="C449" s="22"/>
      <c r="D449" s="19" t="str">
        <f t="shared" si="10"/>
        <v>https://kokusho.nijl.ac.jp/biblio/100314627/81</v>
      </c>
      <c r="E449" s="22"/>
      <c r="F449" s="22"/>
      <c r="G449" s="22"/>
    </row>
    <row r="450" spans="1:7" x14ac:dyDescent="0.15">
      <c r="A450" s="27" t="s">
        <v>8648</v>
      </c>
      <c r="B450" s="19" t="s">
        <v>8727</v>
      </c>
      <c r="C450" s="22"/>
      <c r="D450" s="19" t="str">
        <f t="shared" si="10"/>
        <v>https://kokusho.nijl.ac.jp/biblio/100314627/81</v>
      </c>
      <c r="E450" s="22"/>
      <c r="F450" s="22"/>
      <c r="G450" s="22"/>
    </row>
    <row r="451" spans="1:7" x14ac:dyDescent="0.15">
      <c r="A451" s="27" t="s">
        <v>8648</v>
      </c>
      <c r="B451" s="19" t="s">
        <v>8728</v>
      </c>
      <c r="C451" s="22"/>
      <c r="D451" s="19" t="str">
        <f t="shared" si="10"/>
        <v>https://kokusho.nijl.ac.jp/biblio/100314627/81</v>
      </c>
      <c r="E451" s="22"/>
      <c r="F451" s="22"/>
      <c r="G451" s="22"/>
    </row>
    <row r="452" spans="1:7" x14ac:dyDescent="0.15">
      <c r="A452" s="27" t="s">
        <v>8648</v>
      </c>
      <c r="B452" s="19" t="s">
        <v>8729</v>
      </c>
      <c r="C452" s="22"/>
      <c r="D452" s="19" t="str">
        <f t="shared" si="10"/>
        <v>https://kokusho.nijl.ac.jp/biblio/100314627/81</v>
      </c>
      <c r="E452" s="22"/>
      <c r="F452" s="22"/>
      <c r="G452" s="22"/>
    </row>
    <row r="453" spans="1:7" x14ac:dyDescent="0.15">
      <c r="A453" s="27" t="s">
        <v>8648</v>
      </c>
      <c r="B453" s="19" t="s">
        <v>8730</v>
      </c>
      <c r="C453" s="22"/>
      <c r="D453" s="19" t="str">
        <f t="shared" si="10"/>
        <v>https://kokusho.nijl.ac.jp/biblio/100314627/81</v>
      </c>
      <c r="E453" s="22"/>
      <c r="F453" s="22"/>
      <c r="G453" s="22"/>
    </row>
    <row r="454" spans="1:7" x14ac:dyDescent="0.15">
      <c r="A454" s="27" t="s">
        <v>8648</v>
      </c>
      <c r="B454" s="19" t="s">
        <v>8731</v>
      </c>
      <c r="C454" s="22"/>
      <c r="D454" s="19" t="str">
        <f t="shared" si="10"/>
        <v>https://kokusho.nijl.ac.jp/biblio/100314627/81</v>
      </c>
      <c r="E454" s="22"/>
      <c r="F454" s="22"/>
      <c r="G454" s="22"/>
    </row>
    <row r="455" spans="1:7" x14ac:dyDescent="0.15">
      <c r="A455" s="27" t="s">
        <v>8648</v>
      </c>
      <c r="B455" s="19" t="s">
        <v>8732</v>
      </c>
      <c r="C455" s="22"/>
      <c r="D455" s="19" t="str">
        <f t="shared" ref="D455:D464" si="11">HYPERLINK("https://kokusho.nijl.ac.jp/biblio/100314627/82")</f>
        <v>https://kokusho.nijl.ac.jp/biblio/100314627/82</v>
      </c>
      <c r="E455" s="22"/>
      <c r="F455" s="22"/>
      <c r="G455" s="22"/>
    </row>
    <row r="456" spans="1:7" x14ac:dyDescent="0.15">
      <c r="A456" s="27" t="s">
        <v>8648</v>
      </c>
      <c r="B456" s="19" t="s">
        <v>5720</v>
      </c>
      <c r="C456" s="22"/>
      <c r="D456" s="19" t="str">
        <f t="shared" si="11"/>
        <v>https://kokusho.nijl.ac.jp/biblio/100314627/82</v>
      </c>
      <c r="E456" s="22"/>
      <c r="F456" s="22"/>
      <c r="G456" s="22"/>
    </row>
    <row r="457" spans="1:7" x14ac:dyDescent="0.15">
      <c r="A457" s="27" t="s">
        <v>8648</v>
      </c>
      <c r="B457" s="19" t="s">
        <v>8733</v>
      </c>
      <c r="C457" s="22"/>
      <c r="D457" s="19" t="str">
        <f t="shared" si="11"/>
        <v>https://kokusho.nijl.ac.jp/biblio/100314627/82</v>
      </c>
      <c r="E457" s="22"/>
      <c r="F457" s="22"/>
      <c r="G457" s="22"/>
    </row>
    <row r="458" spans="1:7" x14ac:dyDescent="0.15">
      <c r="A458" s="27" t="s">
        <v>8648</v>
      </c>
      <c r="B458" s="19" t="s">
        <v>8734</v>
      </c>
      <c r="C458" s="22"/>
      <c r="D458" s="19" t="str">
        <f t="shared" si="11"/>
        <v>https://kokusho.nijl.ac.jp/biblio/100314627/82</v>
      </c>
      <c r="E458" s="22"/>
      <c r="F458" s="22"/>
      <c r="G458" s="22"/>
    </row>
    <row r="459" spans="1:7" x14ac:dyDescent="0.15">
      <c r="A459" s="27" t="s">
        <v>8648</v>
      </c>
      <c r="B459" s="19" t="s">
        <v>7227</v>
      </c>
      <c r="C459" s="22"/>
      <c r="D459" s="19" t="str">
        <f t="shared" si="11"/>
        <v>https://kokusho.nijl.ac.jp/biblio/100314627/82</v>
      </c>
      <c r="E459" s="22"/>
      <c r="F459" s="22"/>
      <c r="G459" s="22"/>
    </row>
    <row r="460" spans="1:7" x14ac:dyDescent="0.15">
      <c r="A460" s="27" t="s">
        <v>8648</v>
      </c>
      <c r="B460" s="19" t="s">
        <v>8735</v>
      </c>
      <c r="C460" s="22"/>
      <c r="D460" s="19" t="str">
        <f t="shared" si="11"/>
        <v>https://kokusho.nijl.ac.jp/biblio/100314627/82</v>
      </c>
      <c r="E460" s="22"/>
      <c r="F460" s="22"/>
      <c r="G460" s="22"/>
    </row>
    <row r="461" spans="1:7" x14ac:dyDescent="0.15">
      <c r="A461" s="27" t="s">
        <v>8648</v>
      </c>
      <c r="B461" s="19" t="s">
        <v>8736</v>
      </c>
      <c r="C461" s="22"/>
      <c r="D461" s="19" t="str">
        <f t="shared" si="11"/>
        <v>https://kokusho.nijl.ac.jp/biblio/100314627/82</v>
      </c>
      <c r="E461" s="22"/>
      <c r="F461" s="22"/>
      <c r="G461" s="22"/>
    </row>
    <row r="462" spans="1:7" x14ac:dyDescent="0.15">
      <c r="A462" s="27" t="s">
        <v>8648</v>
      </c>
      <c r="B462" s="19" t="s">
        <v>5712</v>
      </c>
      <c r="C462" s="22"/>
      <c r="D462" s="19" t="str">
        <f t="shared" si="11"/>
        <v>https://kokusho.nijl.ac.jp/biblio/100314627/82</v>
      </c>
      <c r="E462" s="22"/>
      <c r="F462" s="22"/>
      <c r="G462" s="22"/>
    </row>
    <row r="463" spans="1:7" x14ac:dyDescent="0.15">
      <c r="A463" s="27" t="s">
        <v>8648</v>
      </c>
      <c r="B463" s="20" t="s">
        <v>8737</v>
      </c>
      <c r="C463" s="22"/>
      <c r="D463" s="19" t="str">
        <f t="shared" si="11"/>
        <v>https://kokusho.nijl.ac.jp/biblio/100314627/82</v>
      </c>
      <c r="E463" s="22"/>
      <c r="F463" s="22"/>
      <c r="G463" s="22"/>
    </row>
    <row r="464" spans="1:7" x14ac:dyDescent="0.15">
      <c r="A464" s="27" t="s">
        <v>8648</v>
      </c>
      <c r="B464" s="19" t="s">
        <v>8738</v>
      </c>
      <c r="C464" s="22"/>
      <c r="D464" s="19" t="str">
        <f t="shared" si="11"/>
        <v>https://kokusho.nijl.ac.jp/biblio/100314627/82</v>
      </c>
      <c r="E464" s="22"/>
      <c r="F464" s="22"/>
      <c r="G464" s="22"/>
    </row>
    <row r="465" spans="1:7" x14ac:dyDescent="0.15">
      <c r="A465" s="27" t="s">
        <v>8648</v>
      </c>
      <c r="B465" s="19" t="s">
        <v>6564</v>
      </c>
      <c r="C465" s="22"/>
      <c r="D465" s="19" t="str">
        <f t="shared" ref="D465:D475" si="12">HYPERLINK("https://kokusho.nijl.ac.jp/biblio/100314627/83")</f>
        <v>https://kokusho.nijl.ac.jp/biblio/100314627/83</v>
      </c>
      <c r="E465" s="22"/>
      <c r="F465" s="22"/>
      <c r="G465" s="22"/>
    </row>
    <row r="466" spans="1:7" x14ac:dyDescent="0.15">
      <c r="A466" s="27" t="s">
        <v>8648</v>
      </c>
      <c r="B466" s="20" t="s">
        <v>8739</v>
      </c>
      <c r="C466" s="22"/>
      <c r="D466" s="19" t="str">
        <f t="shared" si="12"/>
        <v>https://kokusho.nijl.ac.jp/biblio/100314627/83</v>
      </c>
      <c r="E466" s="22"/>
      <c r="F466" s="22"/>
      <c r="G466" s="22"/>
    </row>
    <row r="467" spans="1:7" x14ac:dyDescent="0.15">
      <c r="A467" s="27" t="s">
        <v>8648</v>
      </c>
      <c r="B467" s="19" t="s">
        <v>7324</v>
      </c>
      <c r="C467" s="22"/>
      <c r="D467" s="19" t="str">
        <f t="shared" si="12"/>
        <v>https://kokusho.nijl.ac.jp/biblio/100314627/83</v>
      </c>
      <c r="E467" s="22"/>
      <c r="F467" s="22"/>
      <c r="G467" s="22"/>
    </row>
    <row r="468" spans="1:7" x14ac:dyDescent="0.15">
      <c r="A468" s="27" t="s">
        <v>8648</v>
      </c>
      <c r="B468" s="19" t="s">
        <v>8740</v>
      </c>
      <c r="C468" s="22"/>
      <c r="D468" s="19" t="str">
        <f t="shared" si="12"/>
        <v>https://kokusho.nijl.ac.jp/biblio/100314627/83</v>
      </c>
      <c r="E468" s="22"/>
      <c r="F468" s="22"/>
      <c r="G468" s="22"/>
    </row>
    <row r="469" spans="1:7" x14ac:dyDescent="0.15">
      <c r="A469" s="27" t="s">
        <v>8648</v>
      </c>
      <c r="B469" s="19" t="s">
        <v>8741</v>
      </c>
      <c r="C469" s="22"/>
      <c r="D469" s="19" t="str">
        <f t="shared" si="12"/>
        <v>https://kokusho.nijl.ac.jp/biblio/100314627/83</v>
      </c>
      <c r="E469" s="22"/>
      <c r="F469" s="22"/>
      <c r="G469" s="22"/>
    </row>
    <row r="470" spans="1:7" x14ac:dyDescent="0.15">
      <c r="A470" s="27" t="s">
        <v>8648</v>
      </c>
      <c r="B470" s="19" t="s">
        <v>7359</v>
      </c>
      <c r="C470" s="22"/>
      <c r="D470" s="19" t="str">
        <f t="shared" si="12"/>
        <v>https://kokusho.nijl.ac.jp/biblio/100314627/83</v>
      </c>
      <c r="E470" s="22"/>
      <c r="F470" s="22"/>
      <c r="G470" s="22"/>
    </row>
    <row r="471" spans="1:7" x14ac:dyDescent="0.15">
      <c r="A471" s="27" t="s">
        <v>8648</v>
      </c>
      <c r="B471" s="19" t="s">
        <v>8742</v>
      </c>
      <c r="C471" s="22"/>
      <c r="D471" s="19" t="str">
        <f t="shared" si="12"/>
        <v>https://kokusho.nijl.ac.jp/biblio/100314627/83</v>
      </c>
      <c r="E471" s="22"/>
      <c r="F471" s="22"/>
      <c r="G471" s="22"/>
    </row>
    <row r="472" spans="1:7" x14ac:dyDescent="0.15">
      <c r="A472" s="27" t="s">
        <v>8648</v>
      </c>
      <c r="B472" s="19" t="s">
        <v>7377</v>
      </c>
      <c r="C472" s="22"/>
      <c r="D472" s="19" t="str">
        <f t="shared" si="12"/>
        <v>https://kokusho.nijl.ac.jp/biblio/100314627/83</v>
      </c>
      <c r="E472" s="22"/>
      <c r="F472" s="22"/>
      <c r="G472" s="22"/>
    </row>
    <row r="473" spans="1:7" x14ac:dyDescent="0.15">
      <c r="A473" s="27" t="s">
        <v>8648</v>
      </c>
      <c r="B473" s="19" t="s">
        <v>7380</v>
      </c>
      <c r="C473" s="22"/>
      <c r="D473" s="19" t="str">
        <f t="shared" si="12"/>
        <v>https://kokusho.nijl.ac.jp/biblio/100314627/83</v>
      </c>
      <c r="E473" s="22"/>
      <c r="F473" s="22"/>
      <c r="G473" s="22"/>
    </row>
    <row r="474" spans="1:7" x14ac:dyDescent="0.15">
      <c r="A474" s="27" t="s">
        <v>8648</v>
      </c>
      <c r="B474" s="19" t="s">
        <v>8743</v>
      </c>
      <c r="C474" s="22"/>
      <c r="D474" s="19" t="str">
        <f t="shared" si="12"/>
        <v>https://kokusho.nijl.ac.jp/biblio/100314627/83</v>
      </c>
      <c r="E474" s="22"/>
      <c r="F474" s="22"/>
      <c r="G474" s="22"/>
    </row>
    <row r="475" spans="1:7" x14ac:dyDescent="0.15">
      <c r="A475" s="27" t="s">
        <v>8648</v>
      </c>
      <c r="B475" s="19" t="s">
        <v>8744</v>
      </c>
      <c r="C475" s="22"/>
      <c r="D475" s="19" t="str">
        <f t="shared" si="12"/>
        <v>https://kokusho.nijl.ac.jp/biblio/100314627/83</v>
      </c>
      <c r="E475" s="22"/>
      <c r="F475" s="22"/>
      <c r="G475" s="22"/>
    </row>
    <row r="476" spans="1:7" x14ac:dyDescent="0.15">
      <c r="A476" s="27" t="s">
        <v>8648</v>
      </c>
      <c r="B476" s="19" t="s">
        <v>7335</v>
      </c>
      <c r="C476" s="22"/>
      <c r="D476" s="19" t="str">
        <f t="shared" ref="D476:D488" si="13">HYPERLINK("https://kokusho.nijl.ac.jp/biblio/100314627/84")</f>
        <v>https://kokusho.nijl.ac.jp/biblio/100314627/84</v>
      </c>
      <c r="E476" s="22"/>
      <c r="F476" s="22"/>
      <c r="G476" s="22"/>
    </row>
    <row r="477" spans="1:7" x14ac:dyDescent="0.15">
      <c r="A477" s="27" t="s">
        <v>8648</v>
      </c>
      <c r="B477" s="19" t="s">
        <v>8745</v>
      </c>
      <c r="C477" s="22"/>
      <c r="D477" s="19" t="str">
        <f t="shared" si="13"/>
        <v>https://kokusho.nijl.ac.jp/biblio/100314627/84</v>
      </c>
      <c r="E477" s="22"/>
      <c r="F477" s="22"/>
      <c r="G477" s="22"/>
    </row>
    <row r="478" spans="1:7" x14ac:dyDescent="0.15">
      <c r="A478" s="27" t="s">
        <v>8648</v>
      </c>
      <c r="B478" s="19" t="s">
        <v>8746</v>
      </c>
      <c r="C478" s="22"/>
      <c r="D478" s="19" t="str">
        <f t="shared" si="13"/>
        <v>https://kokusho.nijl.ac.jp/biblio/100314627/84</v>
      </c>
      <c r="E478" s="22"/>
      <c r="F478" s="22"/>
      <c r="G478" s="22"/>
    </row>
    <row r="479" spans="1:7" x14ac:dyDescent="0.15">
      <c r="A479" s="27" t="s">
        <v>8648</v>
      </c>
      <c r="B479" s="19" t="s">
        <v>7321</v>
      </c>
      <c r="C479" s="22"/>
      <c r="D479" s="19" t="str">
        <f t="shared" si="13"/>
        <v>https://kokusho.nijl.ac.jp/biblio/100314627/84</v>
      </c>
      <c r="E479" s="22"/>
      <c r="F479" s="22"/>
      <c r="G479" s="22"/>
    </row>
    <row r="480" spans="1:7" x14ac:dyDescent="0.15">
      <c r="A480" s="27" t="s">
        <v>8648</v>
      </c>
      <c r="B480" s="19" t="s">
        <v>8747</v>
      </c>
      <c r="C480" s="22"/>
      <c r="D480" s="19" t="str">
        <f t="shared" si="13"/>
        <v>https://kokusho.nijl.ac.jp/biblio/100314627/84</v>
      </c>
      <c r="E480" s="22"/>
      <c r="F480" s="22"/>
      <c r="G480" s="22"/>
    </row>
    <row r="481" spans="1:7" x14ac:dyDescent="0.15">
      <c r="A481" s="27" t="s">
        <v>8648</v>
      </c>
      <c r="B481" s="19" t="s">
        <v>6216</v>
      </c>
      <c r="C481" s="22"/>
      <c r="D481" s="19" t="str">
        <f t="shared" si="13"/>
        <v>https://kokusho.nijl.ac.jp/biblio/100314627/84</v>
      </c>
      <c r="E481" s="22"/>
      <c r="F481" s="22"/>
      <c r="G481" s="22"/>
    </row>
    <row r="482" spans="1:7" x14ac:dyDescent="0.15">
      <c r="A482" s="27" t="s">
        <v>8648</v>
      </c>
      <c r="B482" s="19" t="s">
        <v>7352</v>
      </c>
      <c r="C482" s="22"/>
      <c r="D482" s="19" t="str">
        <f t="shared" si="13"/>
        <v>https://kokusho.nijl.ac.jp/biblio/100314627/84</v>
      </c>
      <c r="E482" s="22"/>
      <c r="F482" s="22"/>
      <c r="G482" s="22"/>
    </row>
    <row r="483" spans="1:7" x14ac:dyDescent="0.15">
      <c r="A483" s="27" t="s">
        <v>8648</v>
      </c>
      <c r="B483" s="19" t="s">
        <v>8748</v>
      </c>
      <c r="C483" s="22"/>
      <c r="D483" s="19" t="str">
        <f t="shared" si="13"/>
        <v>https://kokusho.nijl.ac.jp/biblio/100314627/84</v>
      </c>
      <c r="E483" s="22"/>
      <c r="F483" s="22"/>
      <c r="G483" s="22"/>
    </row>
    <row r="484" spans="1:7" x14ac:dyDescent="0.15">
      <c r="A484" s="27" t="s">
        <v>8648</v>
      </c>
      <c r="B484" s="19" t="s">
        <v>7332</v>
      </c>
      <c r="C484" s="22"/>
      <c r="D484" s="19" t="str">
        <f t="shared" si="13"/>
        <v>https://kokusho.nijl.ac.jp/biblio/100314627/84</v>
      </c>
      <c r="E484" s="22"/>
      <c r="F484" s="22"/>
      <c r="G484" s="22"/>
    </row>
    <row r="485" spans="1:7" x14ac:dyDescent="0.15">
      <c r="A485" s="27" t="s">
        <v>8648</v>
      </c>
      <c r="B485" s="19" t="s">
        <v>8749</v>
      </c>
      <c r="C485" s="22"/>
      <c r="D485" s="19" t="str">
        <f t="shared" si="13"/>
        <v>https://kokusho.nijl.ac.jp/biblio/100314627/84</v>
      </c>
      <c r="E485" s="22"/>
      <c r="F485" s="22"/>
      <c r="G485" s="22"/>
    </row>
    <row r="486" spans="1:7" x14ac:dyDescent="0.15">
      <c r="A486" s="27" t="s">
        <v>8648</v>
      </c>
      <c r="B486" s="19" t="s">
        <v>8750</v>
      </c>
      <c r="C486" s="22"/>
      <c r="D486" s="19" t="str">
        <f t="shared" si="13"/>
        <v>https://kokusho.nijl.ac.jp/biblio/100314627/84</v>
      </c>
      <c r="E486" s="22"/>
      <c r="F486" s="22"/>
      <c r="G486" s="22"/>
    </row>
    <row r="487" spans="1:7" x14ac:dyDescent="0.15">
      <c r="A487" s="27" t="s">
        <v>8648</v>
      </c>
      <c r="B487" s="19" t="s">
        <v>7331</v>
      </c>
      <c r="C487" s="22"/>
      <c r="D487" s="19" t="str">
        <f t="shared" si="13"/>
        <v>https://kokusho.nijl.ac.jp/biblio/100314627/84</v>
      </c>
      <c r="E487" s="22"/>
      <c r="F487" s="22"/>
      <c r="G487" s="22"/>
    </row>
    <row r="488" spans="1:7" x14ac:dyDescent="0.15">
      <c r="A488" s="27" t="s">
        <v>8648</v>
      </c>
      <c r="B488" s="19" t="s">
        <v>8564</v>
      </c>
      <c r="C488" s="22"/>
      <c r="D488" s="19" t="str">
        <f t="shared" si="13"/>
        <v>https://kokusho.nijl.ac.jp/biblio/100314627/84</v>
      </c>
      <c r="E488" s="22"/>
      <c r="F488" s="22"/>
      <c r="G488" s="22"/>
    </row>
    <row r="489" spans="1:7" x14ac:dyDescent="0.15">
      <c r="A489" s="27" t="s">
        <v>8648</v>
      </c>
      <c r="B489" s="20" t="s">
        <v>8751</v>
      </c>
      <c r="C489" s="22"/>
      <c r="D489" s="19" t="str">
        <f t="shared" ref="D489:D501" si="14">HYPERLINK("https://kokusho.nijl.ac.jp/biblio/100314627/85")</f>
        <v>https://kokusho.nijl.ac.jp/biblio/100314627/85</v>
      </c>
      <c r="E489" s="22"/>
      <c r="F489" s="22"/>
      <c r="G489" s="22"/>
    </row>
    <row r="490" spans="1:7" x14ac:dyDescent="0.15">
      <c r="A490" s="27" t="s">
        <v>8648</v>
      </c>
      <c r="B490" s="19" t="s">
        <v>8752</v>
      </c>
      <c r="C490" s="22"/>
      <c r="D490" s="19" t="str">
        <f t="shared" si="14"/>
        <v>https://kokusho.nijl.ac.jp/biblio/100314627/85</v>
      </c>
      <c r="E490" s="22"/>
      <c r="F490" s="22"/>
      <c r="G490" s="22"/>
    </row>
    <row r="491" spans="1:7" x14ac:dyDescent="0.15">
      <c r="A491" s="27" t="s">
        <v>8648</v>
      </c>
      <c r="B491" s="19" t="s">
        <v>8753</v>
      </c>
      <c r="C491" s="22"/>
      <c r="D491" s="19" t="str">
        <f t="shared" si="14"/>
        <v>https://kokusho.nijl.ac.jp/biblio/100314627/85</v>
      </c>
      <c r="E491" s="22"/>
      <c r="F491" s="22"/>
      <c r="G491" s="22"/>
    </row>
    <row r="492" spans="1:7" x14ac:dyDescent="0.15">
      <c r="A492" s="27" t="s">
        <v>8648</v>
      </c>
      <c r="B492" s="19" t="s">
        <v>7400</v>
      </c>
      <c r="C492" s="22"/>
      <c r="D492" s="19" t="str">
        <f t="shared" si="14"/>
        <v>https://kokusho.nijl.ac.jp/biblio/100314627/85</v>
      </c>
      <c r="E492" s="22"/>
      <c r="F492" s="22"/>
      <c r="G492" s="22"/>
    </row>
    <row r="493" spans="1:7" x14ac:dyDescent="0.15">
      <c r="A493" s="27" t="s">
        <v>8648</v>
      </c>
      <c r="B493" s="20" t="s">
        <v>8754</v>
      </c>
      <c r="C493" s="22"/>
      <c r="D493" s="19" t="str">
        <f t="shared" si="14"/>
        <v>https://kokusho.nijl.ac.jp/biblio/100314627/85</v>
      </c>
      <c r="E493" s="22"/>
      <c r="F493" s="22"/>
      <c r="G493" s="22"/>
    </row>
    <row r="494" spans="1:7" x14ac:dyDescent="0.15">
      <c r="A494" s="27" t="s">
        <v>8648</v>
      </c>
      <c r="B494" s="19" t="s">
        <v>8755</v>
      </c>
      <c r="C494" s="22"/>
      <c r="D494" s="19" t="str">
        <f t="shared" si="14"/>
        <v>https://kokusho.nijl.ac.jp/biblio/100314627/85</v>
      </c>
      <c r="E494" s="22"/>
      <c r="F494" s="22"/>
      <c r="G494" s="22"/>
    </row>
    <row r="495" spans="1:7" x14ac:dyDescent="0.15">
      <c r="A495" s="27" t="s">
        <v>8648</v>
      </c>
      <c r="B495" s="19" t="s">
        <v>8756</v>
      </c>
      <c r="C495" s="22"/>
      <c r="D495" s="19" t="str">
        <f t="shared" si="14"/>
        <v>https://kokusho.nijl.ac.jp/biblio/100314627/85</v>
      </c>
      <c r="E495" s="22"/>
      <c r="F495" s="22"/>
      <c r="G495" s="22"/>
    </row>
    <row r="496" spans="1:7" x14ac:dyDescent="0.15">
      <c r="A496" s="27" t="s">
        <v>8648</v>
      </c>
      <c r="B496" s="19" t="s">
        <v>7419</v>
      </c>
      <c r="C496" s="22"/>
      <c r="D496" s="19" t="str">
        <f t="shared" si="14"/>
        <v>https://kokusho.nijl.ac.jp/biblio/100314627/85</v>
      </c>
      <c r="E496" s="22"/>
      <c r="F496" s="22"/>
      <c r="G496" s="22"/>
    </row>
    <row r="497" spans="1:7" x14ac:dyDescent="0.15">
      <c r="A497" s="27" t="s">
        <v>8648</v>
      </c>
      <c r="B497" s="19" t="s">
        <v>8757</v>
      </c>
      <c r="C497" s="22"/>
      <c r="D497" s="19" t="str">
        <f t="shared" si="14"/>
        <v>https://kokusho.nijl.ac.jp/biblio/100314627/85</v>
      </c>
      <c r="E497" s="22"/>
      <c r="F497" s="22"/>
      <c r="G497" s="22"/>
    </row>
    <row r="498" spans="1:7" x14ac:dyDescent="0.15">
      <c r="A498" s="27" t="s">
        <v>8648</v>
      </c>
      <c r="B498" s="19" t="s">
        <v>8758</v>
      </c>
      <c r="C498" s="22"/>
      <c r="D498" s="19" t="str">
        <f t="shared" si="14"/>
        <v>https://kokusho.nijl.ac.jp/biblio/100314627/85</v>
      </c>
      <c r="E498" s="22"/>
      <c r="F498" s="22"/>
      <c r="G498" s="22"/>
    </row>
    <row r="499" spans="1:7" x14ac:dyDescent="0.15">
      <c r="A499" s="27" t="s">
        <v>8648</v>
      </c>
      <c r="B499" s="20" t="s">
        <v>8759</v>
      </c>
      <c r="C499" s="22"/>
      <c r="D499" s="19" t="str">
        <f t="shared" si="14"/>
        <v>https://kokusho.nijl.ac.jp/biblio/100314627/85</v>
      </c>
      <c r="E499" s="22"/>
      <c r="F499" s="22"/>
      <c r="G499" s="22"/>
    </row>
    <row r="500" spans="1:7" x14ac:dyDescent="0.15">
      <c r="A500" s="27" t="s">
        <v>8648</v>
      </c>
      <c r="B500" s="19" t="s">
        <v>8760</v>
      </c>
      <c r="C500" s="22"/>
      <c r="D500" s="19" t="str">
        <f t="shared" si="14"/>
        <v>https://kokusho.nijl.ac.jp/biblio/100314627/85</v>
      </c>
      <c r="E500" s="22"/>
      <c r="F500" s="22"/>
      <c r="G500" s="22"/>
    </row>
    <row r="501" spans="1:7" x14ac:dyDescent="0.15">
      <c r="A501" s="27" t="s">
        <v>8648</v>
      </c>
      <c r="B501" s="19" t="s">
        <v>8761</v>
      </c>
      <c r="C501" s="22"/>
      <c r="D501" s="19" t="str">
        <f t="shared" si="14"/>
        <v>https://kokusho.nijl.ac.jp/biblio/100314627/85</v>
      </c>
      <c r="E501" s="22"/>
      <c r="F501" s="22"/>
      <c r="G501" s="22"/>
    </row>
    <row r="502" spans="1:7" x14ac:dyDescent="0.15">
      <c r="A502" s="27" t="s">
        <v>8648</v>
      </c>
      <c r="B502" s="20" t="s">
        <v>8762</v>
      </c>
      <c r="C502" s="22"/>
      <c r="D502" s="19" t="str">
        <f t="shared" ref="D502:D511" si="15">HYPERLINK("https://kokusho.nijl.ac.jp/biblio/100314627/86")</f>
        <v>https://kokusho.nijl.ac.jp/biblio/100314627/86</v>
      </c>
      <c r="E502" s="22"/>
      <c r="F502" s="22"/>
      <c r="G502" s="22"/>
    </row>
    <row r="503" spans="1:7" x14ac:dyDescent="0.15">
      <c r="A503" s="27" t="s">
        <v>8648</v>
      </c>
      <c r="B503" s="19" t="s">
        <v>8763</v>
      </c>
      <c r="C503" s="22"/>
      <c r="D503" s="19" t="str">
        <f t="shared" si="15"/>
        <v>https://kokusho.nijl.ac.jp/biblio/100314627/86</v>
      </c>
      <c r="E503" s="22"/>
      <c r="F503" s="22"/>
      <c r="G503" s="22"/>
    </row>
    <row r="504" spans="1:7" x14ac:dyDescent="0.15">
      <c r="A504" s="27" t="s">
        <v>8648</v>
      </c>
      <c r="B504" s="20" t="s">
        <v>8764</v>
      </c>
      <c r="C504" s="22"/>
      <c r="D504" s="19" t="str">
        <f t="shared" si="15"/>
        <v>https://kokusho.nijl.ac.jp/biblio/100314627/86</v>
      </c>
      <c r="E504" s="22"/>
      <c r="F504" s="22"/>
      <c r="G504" s="22"/>
    </row>
    <row r="505" spans="1:7" x14ac:dyDescent="0.15">
      <c r="A505" s="27" t="s">
        <v>8648</v>
      </c>
      <c r="B505" s="19" t="s">
        <v>7495</v>
      </c>
      <c r="C505" s="22"/>
      <c r="D505" s="19" t="str">
        <f t="shared" si="15"/>
        <v>https://kokusho.nijl.ac.jp/biblio/100314627/86</v>
      </c>
      <c r="E505" s="22"/>
      <c r="F505" s="22"/>
      <c r="G505" s="22"/>
    </row>
    <row r="506" spans="1:7" x14ac:dyDescent="0.15">
      <c r="A506" s="27" t="s">
        <v>8648</v>
      </c>
      <c r="B506" s="19" t="s">
        <v>8765</v>
      </c>
      <c r="C506" s="22"/>
      <c r="D506" s="19" t="str">
        <f t="shared" si="15"/>
        <v>https://kokusho.nijl.ac.jp/biblio/100314627/86</v>
      </c>
      <c r="E506" s="22"/>
      <c r="F506" s="22"/>
      <c r="G506" s="22"/>
    </row>
    <row r="507" spans="1:7" x14ac:dyDescent="0.15">
      <c r="A507" s="27" t="s">
        <v>8648</v>
      </c>
      <c r="B507" s="19" t="s">
        <v>8766</v>
      </c>
      <c r="C507" s="22"/>
      <c r="D507" s="19" t="str">
        <f t="shared" si="15"/>
        <v>https://kokusho.nijl.ac.jp/biblio/100314627/86</v>
      </c>
      <c r="E507" s="22"/>
      <c r="F507" s="22"/>
      <c r="G507" s="22"/>
    </row>
    <row r="508" spans="1:7" x14ac:dyDescent="0.15">
      <c r="A508" s="27" t="s">
        <v>8648</v>
      </c>
      <c r="B508" s="20" t="s">
        <v>8767</v>
      </c>
      <c r="C508" s="22"/>
      <c r="D508" s="19" t="str">
        <f t="shared" si="15"/>
        <v>https://kokusho.nijl.ac.jp/biblio/100314627/86</v>
      </c>
      <c r="E508" s="22"/>
      <c r="F508" s="22"/>
      <c r="G508" s="22"/>
    </row>
    <row r="509" spans="1:7" x14ac:dyDescent="0.15">
      <c r="A509" s="27" t="s">
        <v>8648</v>
      </c>
      <c r="B509" s="19" t="s">
        <v>8768</v>
      </c>
      <c r="C509" s="22"/>
      <c r="D509" s="19" t="str">
        <f t="shared" si="15"/>
        <v>https://kokusho.nijl.ac.jp/biblio/100314627/86</v>
      </c>
      <c r="E509" s="22"/>
      <c r="F509" s="22"/>
      <c r="G509" s="22"/>
    </row>
    <row r="510" spans="1:7" x14ac:dyDescent="0.15">
      <c r="A510" s="27" t="s">
        <v>8648</v>
      </c>
      <c r="B510" s="19" t="s">
        <v>8769</v>
      </c>
      <c r="C510" s="22"/>
      <c r="D510" s="19" t="str">
        <f t="shared" si="15"/>
        <v>https://kokusho.nijl.ac.jp/biblio/100314627/86</v>
      </c>
      <c r="E510" s="22"/>
      <c r="F510" s="22"/>
      <c r="G510" s="22"/>
    </row>
    <row r="511" spans="1:7" x14ac:dyDescent="0.15">
      <c r="A511" s="27" t="s">
        <v>8648</v>
      </c>
      <c r="B511" s="19" t="s">
        <v>7505</v>
      </c>
      <c r="C511" s="22"/>
      <c r="D511" s="19" t="str">
        <f t="shared" si="15"/>
        <v>https://kokusho.nijl.ac.jp/biblio/100314627/86</v>
      </c>
      <c r="E511" s="22"/>
      <c r="F511" s="22"/>
      <c r="G511" s="22"/>
    </row>
    <row r="512" spans="1:7" x14ac:dyDescent="0.15">
      <c r="A512" s="27" t="s">
        <v>8648</v>
      </c>
      <c r="B512" s="19" t="s">
        <v>8770</v>
      </c>
      <c r="C512" s="22"/>
      <c r="D512" s="19" t="str">
        <f t="shared" ref="D512:D524" si="16">HYPERLINK("https://kokusho.nijl.ac.jp/biblio/100314627/87")</f>
        <v>https://kokusho.nijl.ac.jp/biblio/100314627/87</v>
      </c>
      <c r="E512" s="22"/>
      <c r="F512" s="22"/>
      <c r="G512" s="22"/>
    </row>
    <row r="513" spans="1:7" x14ac:dyDescent="0.15">
      <c r="A513" s="27" t="s">
        <v>8648</v>
      </c>
      <c r="B513" s="20" t="s">
        <v>8771</v>
      </c>
      <c r="C513" s="22"/>
      <c r="D513" s="19" t="str">
        <f t="shared" si="16"/>
        <v>https://kokusho.nijl.ac.jp/biblio/100314627/87</v>
      </c>
      <c r="E513" s="22"/>
      <c r="F513" s="22"/>
      <c r="G513" s="22"/>
    </row>
    <row r="514" spans="1:7" x14ac:dyDescent="0.15">
      <c r="A514" s="27" t="s">
        <v>8648</v>
      </c>
      <c r="B514" s="19" t="s">
        <v>8772</v>
      </c>
      <c r="C514" s="22"/>
      <c r="D514" s="19" t="str">
        <f t="shared" si="16"/>
        <v>https://kokusho.nijl.ac.jp/biblio/100314627/87</v>
      </c>
      <c r="E514" s="22"/>
      <c r="F514" s="22"/>
      <c r="G514" s="22"/>
    </row>
    <row r="515" spans="1:7" x14ac:dyDescent="0.15">
      <c r="A515" s="27" t="s">
        <v>8648</v>
      </c>
      <c r="B515" s="19" t="s">
        <v>8773</v>
      </c>
      <c r="C515" s="22"/>
      <c r="D515" s="19" t="str">
        <f t="shared" si="16"/>
        <v>https://kokusho.nijl.ac.jp/biblio/100314627/87</v>
      </c>
      <c r="E515" s="22"/>
      <c r="F515" s="22"/>
      <c r="G515" s="22"/>
    </row>
    <row r="516" spans="1:7" x14ac:dyDescent="0.15">
      <c r="A516" s="27" t="s">
        <v>8648</v>
      </c>
      <c r="B516" s="20" t="s">
        <v>8774</v>
      </c>
      <c r="C516" s="22"/>
      <c r="D516" s="19" t="str">
        <f t="shared" si="16"/>
        <v>https://kokusho.nijl.ac.jp/biblio/100314627/87</v>
      </c>
      <c r="E516" s="22"/>
      <c r="F516" s="22"/>
      <c r="G516" s="22"/>
    </row>
    <row r="517" spans="1:7" x14ac:dyDescent="0.15">
      <c r="A517" s="27" t="s">
        <v>8648</v>
      </c>
      <c r="B517" s="19" t="s">
        <v>8775</v>
      </c>
      <c r="C517" s="22"/>
      <c r="D517" s="19" t="str">
        <f t="shared" si="16"/>
        <v>https://kokusho.nijl.ac.jp/biblio/100314627/87</v>
      </c>
      <c r="E517" s="22"/>
      <c r="F517" s="22"/>
      <c r="G517" s="22"/>
    </row>
    <row r="518" spans="1:7" x14ac:dyDescent="0.15">
      <c r="A518" s="27" t="s">
        <v>8648</v>
      </c>
      <c r="B518" s="19" t="s">
        <v>8776</v>
      </c>
      <c r="C518" s="22"/>
      <c r="D518" s="19" t="str">
        <f t="shared" si="16"/>
        <v>https://kokusho.nijl.ac.jp/biblio/100314627/87</v>
      </c>
      <c r="E518" s="22"/>
      <c r="F518" s="22"/>
      <c r="G518" s="22"/>
    </row>
    <row r="519" spans="1:7" x14ac:dyDescent="0.15">
      <c r="A519" s="27" t="s">
        <v>8648</v>
      </c>
      <c r="B519" s="19" t="s">
        <v>8777</v>
      </c>
      <c r="C519" s="22"/>
      <c r="D519" s="19" t="str">
        <f t="shared" si="16"/>
        <v>https://kokusho.nijl.ac.jp/biblio/100314627/87</v>
      </c>
      <c r="E519" s="22"/>
      <c r="F519" s="22"/>
      <c r="G519" s="22"/>
    </row>
    <row r="520" spans="1:7" x14ac:dyDescent="0.15">
      <c r="A520" s="27" t="s">
        <v>8648</v>
      </c>
      <c r="B520" s="20" t="s">
        <v>8778</v>
      </c>
      <c r="C520" s="22"/>
      <c r="D520" s="19" t="str">
        <f t="shared" si="16"/>
        <v>https://kokusho.nijl.ac.jp/biblio/100314627/87</v>
      </c>
      <c r="E520" s="22"/>
      <c r="F520" s="22"/>
      <c r="G520" s="22"/>
    </row>
    <row r="521" spans="1:7" x14ac:dyDescent="0.15">
      <c r="A521" s="27" t="s">
        <v>8648</v>
      </c>
      <c r="B521" s="19" t="s">
        <v>8779</v>
      </c>
      <c r="C521" s="22"/>
      <c r="D521" s="19" t="str">
        <f t="shared" si="16"/>
        <v>https://kokusho.nijl.ac.jp/biblio/100314627/87</v>
      </c>
      <c r="E521" s="22"/>
      <c r="F521" s="22"/>
      <c r="G521" s="22"/>
    </row>
    <row r="522" spans="1:7" x14ac:dyDescent="0.15">
      <c r="A522" s="27" t="s">
        <v>8648</v>
      </c>
      <c r="B522" s="19" t="s">
        <v>8780</v>
      </c>
      <c r="C522" s="22"/>
      <c r="D522" s="19" t="str">
        <f t="shared" si="16"/>
        <v>https://kokusho.nijl.ac.jp/biblio/100314627/87</v>
      </c>
      <c r="E522" s="22"/>
      <c r="F522" s="22"/>
      <c r="G522" s="22"/>
    </row>
    <row r="523" spans="1:7" x14ac:dyDescent="0.15">
      <c r="A523" s="27" t="s">
        <v>8648</v>
      </c>
      <c r="B523" s="19" t="s">
        <v>7553</v>
      </c>
      <c r="C523" s="22"/>
      <c r="D523" s="19" t="str">
        <f t="shared" si="16"/>
        <v>https://kokusho.nijl.ac.jp/biblio/100314627/87</v>
      </c>
      <c r="E523" s="22"/>
      <c r="F523" s="22"/>
      <c r="G523" s="22"/>
    </row>
    <row r="524" spans="1:7" x14ac:dyDescent="0.15">
      <c r="A524" s="27" t="s">
        <v>8648</v>
      </c>
      <c r="B524" s="19" t="s">
        <v>7561</v>
      </c>
      <c r="C524" s="22"/>
      <c r="D524" s="19" t="str">
        <f t="shared" si="16"/>
        <v>https://kokusho.nijl.ac.jp/biblio/100314627/87</v>
      </c>
      <c r="E524" s="22"/>
      <c r="F524" s="22"/>
      <c r="G524" s="22"/>
    </row>
    <row r="525" spans="1:7" x14ac:dyDescent="0.15">
      <c r="A525" s="27" t="s">
        <v>8648</v>
      </c>
      <c r="B525" s="19" t="s">
        <v>8781</v>
      </c>
      <c r="C525" s="22"/>
      <c r="D525" s="18" t="str">
        <f t="shared" ref="D525:D534" si="17">HYPERLINK("https://kokusho.nijl.ac.jp/biblio/100314627/88")</f>
        <v>https://kokusho.nijl.ac.jp/biblio/100314627/88</v>
      </c>
      <c r="E525" s="22"/>
      <c r="F525" s="22"/>
      <c r="G525" s="22"/>
    </row>
    <row r="526" spans="1:7" x14ac:dyDescent="0.15">
      <c r="A526" s="27" t="s">
        <v>8648</v>
      </c>
      <c r="B526" s="19" t="s">
        <v>7544</v>
      </c>
      <c r="C526" s="22"/>
      <c r="D526" s="19" t="str">
        <f t="shared" si="17"/>
        <v>https://kokusho.nijl.ac.jp/biblio/100314627/88</v>
      </c>
      <c r="E526" s="22"/>
      <c r="F526" s="22"/>
      <c r="G526" s="22"/>
    </row>
    <row r="527" spans="1:7" x14ac:dyDescent="0.15">
      <c r="A527" s="27" t="s">
        <v>8648</v>
      </c>
      <c r="B527" s="20" t="s">
        <v>8782</v>
      </c>
      <c r="C527" s="22"/>
      <c r="D527" s="19" t="str">
        <f t="shared" si="17"/>
        <v>https://kokusho.nijl.ac.jp/biblio/100314627/88</v>
      </c>
      <c r="E527" s="22"/>
      <c r="F527" s="22"/>
      <c r="G527" s="22"/>
    </row>
    <row r="528" spans="1:7" x14ac:dyDescent="0.15">
      <c r="A528" s="27" t="s">
        <v>8648</v>
      </c>
      <c r="B528" s="19" t="s">
        <v>7577</v>
      </c>
      <c r="C528" s="22"/>
      <c r="D528" s="19" t="str">
        <f t="shared" si="17"/>
        <v>https://kokusho.nijl.ac.jp/biblio/100314627/88</v>
      </c>
      <c r="E528" s="22"/>
      <c r="F528" s="22"/>
      <c r="G528" s="22"/>
    </row>
    <row r="529" spans="1:7" x14ac:dyDescent="0.15">
      <c r="A529" s="27" t="s">
        <v>8648</v>
      </c>
      <c r="B529" s="19" t="s">
        <v>8783</v>
      </c>
      <c r="C529" s="22"/>
      <c r="D529" s="19" t="str">
        <f t="shared" si="17"/>
        <v>https://kokusho.nijl.ac.jp/biblio/100314627/88</v>
      </c>
      <c r="E529" s="22"/>
      <c r="F529" s="22"/>
      <c r="G529" s="22"/>
    </row>
    <row r="530" spans="1:7" x14ac:dyDescent="0.15">
      <c r="A530" s="27" t="s">
        <v>8648</v>
      </c>
      <c r="B530" s="19" t="s">
        <v>8784</v>
      </c>
      <c r="C530" s="22"/>
      <c r="D530" s="19" t="str">
        <f t="shared" si="17"/>
        <v>https://kokusho.nijl.ac.jp/biblio/100314627/88</v>
      </c>
      <c r="E530" s="22"/>
      <c r="F530" s="22"/>
      <c r="G530" s="22"/>
    </row>
    <row r="531" spans="1:7" x14ac:dyDescent="0.15">
      <c r="A531" s="27" t="s">
        <v>8648</v>
      </c>
      <c r="B531" s="19" t="s">
        <v>8785</v>
      </c>
      <c r="C531" s="22"/>
      <c r="D531" s="19" t="str">
        <f t="shared" si="17"/>
        <v>https://kokusho.nijl.ac.jp/biblio/100314627/88</v>
      </c>
      <c r="E531" s="22"/>
      <c r="F531" s="22"/>
      <c r="G531" s="22"/>
    </row>
    <row r="532" spans="1:7" x14ac:dyDescent="0.15">
      <c r="A532" s="27" t="s">
        <v>8648</v>
      </c>
      <c r="B532" s="19" t="s">
        <v>7631</v>
      </c>
      <c r="C532" s="22"/>
      <c r="D532" s="19" t="str">
        <f t="shared" si="17"/>
        <v>https://kokusho.nijl.ac.jp/biblio/100314627/88</v>
      </c>
      <c r="E532" s="22"/>
      <c r="F532" s="22"/>
      <c r="G532" s="22"/>
    </row>
    <row r="533" spans="1:7" x14ac:dyDescent="0.15">
      <c r="A533" s="27" t="s">
        <v>8648</v>
      </c>
      <c r="B533" s="19" t="s">
        <v>7610</v>
      </c>
      <c r="C533" s="22"/>
      <c r="D533" s="19" t="str">
        <f t="shared" si="17"/>
        <v>https://kokusho.nijl.ac.jp/biblio/100314627/88</v>
      </c>
      <c r="E533" s="22"/>
      <c r="F533" s="22"/>
      <c r="G533" s="22"/>
    </row>
    <row r="534" spans="1:7" x14ac:dyDescent="0.15">
      <c r="A534" s="27" t="s">
        <v>8648</v>
      </c>
      <c r="B534" s="19" t="s">
        <v>5678</v>
      </c>
      <c r="C534" s="22"/>
      <c r="D534" s="18" t="str">
        <f t="shared" si="17"/>
        <v>https://kokusho.nijl.ac.jp/biblio/100314627/88</v>
      </c>
      <c r="E534" s="22"/>
      <c r="F534" s="22"/>
      <c r="G534" s="22"/>
    </row>
    <row r="535" spans="1:7" x14ac:dyDescent="0.15">
      <c r="A535" s="27" t="s">
        <v>8648</v>
      </c>
      <c r="B535" s="19" t="s">
        <v>5674</v>
      </c>
      <c r="C535" s="22"/>
      <c r="D535" s="18" t="str">
        <f t="shared" ref="D535:D546" si="18">HYPERLINK("https://kokusho.nijl.ac.jp/biblio/100314627/89")</f>
        <v>https://kokusho.nijl.ac.jp/biblio/100314627/89</v>
      </c>
      <c r="E535" s="22"/>
      <c r="F535" s="22"/>
      <c r="G535" s="22"/>
    </row>
    <row r="536" spans="1:7" x14ac:dyDescent="0.15">
      <c r="A536" s="27" t="s">
        <v>8648</v>
      </c>
      <c r="B536" s="19" t="s">
        <v>8786</v>
      </c>
      <c r="C536" s="22"/>
      <c r="D536" s="19" t="str">
        <f t="shared" si="18"/>
        <v>https://kokusho.nijl.ac.jp/biblio/100314627/89</v>
      </c>
      <c r="E536" s="22"/>
      <c r="F536" s="22"/>
      <c r="G536" s="22"/>
    </row>
    <row r="537" spans="1:7" x14ac:dyDescent="0.15">
      <c r="A537" s="27" t="s">
        <v>8648</v>
      </c>
      <c r="B537" s="19" t="s">
        <v>8787</v>
      </c>
      <c r="C537" s="22"/>
      <c r="D537" s="19" t="str">
        <f t="shared" si="18"/>
        <v>https://kokusho.nijl.ac.jp/biblio/100314627/89</v>
      </c>
      <c r="E537" s="22"/>
      <c r="F537" s="22"/>
      <c r="G537" s="22"/>
    </row>
    <row r="538" spans="1:7" x14ac:dyDescent="0.15">
      <c r="A538" s="27" t="s">
        <v>8648</v>
      </c>
      <c r="B538" s="19" t="s">
        <v>8788</v>
      </c>
      <c r="C538" s="22"/>
      <c r="D538" s="19" t="str">
        <f t="shared" si="18"/>
        <v>https://kokusho.nijl.ac.jp/biblio/100314627/89</v>
      </c>
      <c r="E538" s="22"/>
      <c r="F538" s="22"/>
      <c r="G538" s="22"/>
    </row>
    <row r="539" spans="1:7" x14ac:dyDescent="0.15">
      <c r="A539" s="27" t="s">
        <v>8648</v>
      </c>
      <c r="B539" s="19" t="s">
        <v>8789</v>
      </c>
      <c r="C539" s="22"/>
      <c r="D539" s="19" t="str">
        <f t="shared" si="18"/>
        <v>https://kokusho.nijl.ac.jp/biblio/100314627/89</v>
      </c>
      <c r="E539" s="22"/>
      <c r="F539" s="22"/>
      <c r="G539" s="22"/>
    </row>
    <row r="540" spans="1:7" x14ac:dyDescent="0.15">
      <c r="A540" s="27" t="s">
        <v>8648</v>
      </c>
      <c r="B540" s="20" t="s">
        <v>8790</v>
      </c>
      <c r="C540" s="22"/>
      <c r="D540" s="19" t="str">
        <f t="shared" si="18"/>
        <v>https://kokusho.nijl.ac.jp/biblio/100314627/89</v>
      </c>
      <c r="E540" s="22"/>
      <c r="F540" s="22"/>
      <c r="G540" s="22"/>
    </row>
    <row r="541" spans="1:7" x14ac:dyDescent="0.15">
      <c r="A541" s="27" t="s">
        <v>8648</v>
      </c>
      <c r="B541" s="19" t="s">
        <v>8791</v>
      </c>
      <c r="C541" s="22"/>
      <c r="D541" s="19" t="str">
        <f t="shared" si="18"/>
        <v>https://kokusho.nijl.ac.jp/biblio/100314627/89</v>
      </c>
      <c r="E541" s="22"/>
      <c r="F541" s="22"/>
      <c r="G541" s="22"/>
    </row>
    <row r="542" spans="1:7" x14ac:dyDescent="0.15">
      <c r="A542" s="27" t="s">
        <v>8648</v>
      </c>
      <c r="B542" s="19" t="s">
        <v>6567</v>
      </c>
      <c r="C542" s="22"/>
      <c r="D542" s="19" t="str">
        <f t="shared" si="18"/>
        <v>https://kokusho.nijl.ac.jp/biblio/100314627/89</v>
      </c>
      <c r="E542" s="22"/>
      <c r="F542" s="22"/>
      <c r="G542" s="22"/>
    </row>
    <row r="543" spans="1:7" x14ac:dyDescent="0.15">
      <c r="A543" s="27" t="s">
        <v>8648</v>
      </c>
      <c r="B543" s="19" t="s">
        <v>7635</v>
      </c>
      <c r="C543" s="22"/>
      <c r="D543" s="19" t="str">
        <f t="shared" si="18"/>
        <v>https://kokusho.nijl.ac.jp/biblio/100314627/89</v>
      </c>
      <c r="E543" s="22"/>
      <c r="F543" s="22"/>
      <c r="G543" s="22"/>
    </row>
    <row r="544" spans="1:7" x14ac:dyDescent="0.15">
      <c r="A544" s="27" t="s">
        <v>8648</v>
      </c>
      <c r="B544" s="19" t="s">
        <v>8792</v>
      </c>
      <c r="C544" s="22"/>
      <c r="D544" s="19" t="str">
        <f t="shared" si="18"/>
        <v>https://kokusho.nijl.ac.jp/biblio/100314627/89</v>
      </c>
      <c r="E544" s="22"/>
      <c r="F544" s="22"/>
      <c r="G544" s="22"/>
    </row>
    <row r="545" spans="1:7" x14ac:dyDescent="0.15">
      <c r="A545" s="27" t="s">
        <v>8648</v>
      </c>
      <c r="B545" s="19" t="s">
        <v>8793</v>
      </c>
      <c r="C545" s="22"/>
      <c r="D545" s="19" t="str">
        <f t="shared" si="18"/>
        <v>https://kokusho.nijl.ac.jp/biblio/100314627/89</v>
      </c>
      <c r="E545" s="22"/>
      <c r="F545" s="22"/>
      <c r="G545" s="22"/>
    </row>
    <row r="546" spans="1:7" x14ac:dyDescent="0.15">
      <c r="A546" s="27" t="s">
        <v>8648</v>
      </c>
      <c r="B546" s="19" t="s">
        <v>8794</v>
      </c>
      <c r="C546" s="22"/>
      <c r="D546" s="18" t="str">
        <f t="shared" si="18"/>
        <v>https://kokusho.nijl.ac.jp/biblio/100314627/89</v>
      </c>
      <c r="E546" s="22"/>
      <c r="F546" s="22"/>
      <c r="G546" s="22"/>
    </row>
    <row r="547" spans="1:7" x14ac:dyDescent="0.15">
      <c r="A547" s="27" t="s">
        <v>8648</v>
      </c>
      <c r="B547" s="20" t="s">
        <v>8790</v>
      </c>
      <c r="C547" s="22"/>
      <c r="D547" s="19" t="str">
        <f t="shared" ref="D547:D559" si="19">HYPERLINK("https://kokusho.nijl.ac.jp/biblio/100314627/90")</f>
        <v>https://kokusho.nijl.ac.jp/biblio/100314627/90</v>
      </c>
      <c r="E547" s="22"/>
      <c r="F547" s="22"/>
      <c r="G547" s="22"/>
    </row>
    <row r="548" spans="1:7" x14ac:dyDescent="0.15">
      <c r="A548" s="27" t="s">
        <v>8648</v>
      </c>
      <c r="B548" s="19" t="s">
        <v>8795</v>
      </c>
      <c r="C548" s="22"/>
      <c r="D548" s="19" t="str">
        <f t="shared" si="19"/>
        <v>https://kokusho.nijl.ac.jp/biblio/100314627/90</v>
      </c>
      <c r="E548" s="22"/>
      <c r="F548" s="22"/>
      <c r="G548" s="22"/>
    </row>
    <row r="549" spans="1:7" x14ac:dyDescent="0.15">
      <c r="A549" s="27" t="s">
        <v>8648</v>
      </c>
      <c r="B549" s="19" t="s">
        <v>8796</v>
      </c>
      <c r="C549" s="22"/>
      <c r="D549" s="19" t="str">
        <f t="shared" si="19"/>
        <v>https://kokusho.nijl.ac.jp/biblio/100314627/90</v>
      </c>
      <c r="E549" s="22"/>
      <c r="F549" s="22"/>
      <c r="G549" s="22"/>
    </row>
    <row r="550" spans="1:7" x14ac:dyDescent="0.15">
      <c r="A550" s="27" t="s">
        <v>8648</v>
      </c>
      <c r="B550" s="19" t="s">
        <v>6540</v>
      </c>
      <c r="C550" s="22"/>
      <c r="D550" s="19" t="str">
        <f t="shared" si="19"/>
        <v>https://kokusho.nijl.ac.jp/biblio/100314627/90</v>
      </c>
      <c r="E550" s="22"/>
      <c r="F550" s="22"/>
      <c r="G550" s="22"/>
    </row>
    <row r="551" spans="1:7" x14ac:dyDescent="0.15">
      <c r="A551" s="27" t="s">
        <v>8648</v>
      </c>
      <c r="B551" s="19" t="s">
        <v>8797</v>
      </c>
      <c r="C551" s="22"/>
      <c r="D551" s="19" t="str">
        <f t="shared" si="19"/>
        <v>https://kokusho.nijl.ac.jp/biblio/100314627/90</v>
      </c>
      <c r="E551" s="22"/>
      <c r="F551" s="22"/>
      <c r="G551" s="22"/>
    </row>
    <row r="552" spans="1:7" x14ac:dyDescent="0.15">
      <c r="A552" s="27" t="s">
        <v>8648</v>
      </c>
      <c r="B552" s="19" t="s">
        <v>6536</v>
      </c>
      <c r="C552" s="22"/>
      <c r="D552" s="19" t="str">
        <f t="shared" si="19"/>
        <v>https://kokusho.nijl.ac.jp/biblio/100314627/90</v>
      </c>
      <c r="E552" s="22"/>
      <c r="F552" s="22"/>
      <c r="G552" s="22"/>
    </row>
    <row r="553" spans="1:7" x14ac:dyDescent="0.15">
      <c r="A553" s="27" t="s">
        <v>8648</v>
      </c>
      <c r="B553" s="20" t="s">
        <v>8798</v>
      </c>
      <c r="C553" s="22"/>
      <c r="D553" s="19" t="str">
        <f t="shared" si="19"/>
        <v>https://kokusho.nijl.ac.jp/biblio/100314627/90</v>
      </c>
      <c r="E553" s="22"/>
      <c r="F553" s="22"/>
      <c r="G553" s="22"/>
    </row>
    <row r="554" spans="1:7" x14ac:dyDescent="0.15">
      <c r="A554" s="27" t="s">
        <v>8648</v>
      </c>
      <c r="B554" s="19" t="s">
        <v>7701</v>
      </c>
      <c r="C554" s="22"/>
      <c r="D554" s="19" t="str">
        <f t="shared" si="19"/>
        <v>https://kokusho.nijl.ac.jp/biblio/100314627/90</v>
      </c>
      <c r="E554" s="22"/>
      <c r="F554" s="22"/>
      <c r="G554" s="22"/>
    </row>
    <row r="555" spans="1:7" x14ac:dyDescent="0.15">
      <c r="A555" s="27" t="s">
        <v>8648</v>
      </c>
      <c r="B555" s="19" t="s">
        <v>7681</v>
      </c>
      <c r="C555" s="22"/>
      <c r="D555" s="19" t="str">
        <f t="shared" si="19"/>
        <v>https://kokusho.nijl.ac.jp/biblio/100314627/90</v>
      </c>
      <c r="E555" s="22"/>
      <c r="F555" s="22"/>
      <c r="G555" s="22"/>
    </row>
    <row r="556" spans="1:7" x14ac:dyDescent="0.15">
      <c r="A556" s="27" t="s">
        <v>8648</v>
      </c>
      <c r="B556" s="19" t="s">
        <v>7702</v>
      </c>
      <c r="C556" s="22"/>
      <c r="D556" s="19" t="str">
        <f t="shared" si="19"/>
        <v>https://kokusho.nijl.ac.jp/biblio/100314627/90</v>
      </c>
      <c r="E556" s="22"/>
      <c r="F556" s="22"/>
      <c r="G556" s="22"/>
    </row>
    <row r="557" spans="1:7" x14ac:dyDescent="0.15">
      <c r="A557" s="27" t="s">
        <v>8648</v>
      </c>
      <c r="B557" s="19" t="s">
        <v>7680</v>
      </c>
      <c r="C557" s="22"/>
      <c r="D557" s="19" t="str">
        <f t="shared" si="19"/>
        <v>https://kokusho.nijl.ac.jp/biblio/100314627/90</v>
      </c>
      <c r="E557" s="22"/>
      <c r="F557" s="22"/>
      <c r="G557" s="22"/>
    </row>
    <row r="558" spans="1:7" x14ac:dyDescent="0.15">
      <c r="A558" s="27" t="s">
        <v>8648</v>
      </c>
      <c r="B558" s="19" t="s">
        <v>8799</v>
      </c>
      <c r="C558" s="22"/>
      <c r="D558" s="19" t="str">
        <f t="shared" si="19"/>
        <v>https://kokusho.nijl.ac.jp/biblio/100314627/90</v>
      </c>
      <c r="E558" s="22"/>
      <c r="F558" s="22"/>
      <c r="G558" s="22"/>
    </row>
    <row r="559" spans="1:7" x14ac:dyDescent="0.15">
      <c r="A559" s="27" t="s">
        <v>8648</v>
      </c>
      <c r="B559" s="19" t="s">
        <v>8800</v>
      </c>
      <c r="C559" s="22"/>
      <c r="D559" s="19" t="str">
        <f t="shared" si="19"/>
        <v>https://kokusho.nijl.ac.jp/biblio/100314627/90</v>
      </c>
      <c r="E559" s="22"/>
      <c r="F559" s="22"/>
      <c r="G559" s="22"/>
    </row>
    <row r="560" spans="1:7" x14ac:dyDescent="0.15">
      <c r="A560" s="27" t="s">
        <v>8648</v>
      </c>
      <c r="B560" s="19" t="s">
        <v>7684</v>
      </c>
      <c r="C560" s="22"/>
      <c r="D560" s="19" t="str">
        <f t="shared" ref="D560:D572" si="20">HYPERLINK("https://kokusho.nijl.ac.jp/biblio/100314627/91")</f>
        <v>https://kokusho.nijl.ac.jp/biblio/100314627/91</v>
      </c>
      <c r="E560" s="22"/>
      <c r="F560" s="22"/>
      <c r="G560" s="22"/>
    </row>
    <row r="561" spans="1:7" x14ac:dyDescent="0.15">
      <c r="A561" s="27" t="s">
        <v>8648</v>
      </c>
      <c r="B561" s="19" t="s">
        <v>8801</v>
      </c>
      <c r="C561" s="22"/>
      <c r="D561" s="19" t="str">
        <f t="shared" si="20"/>
        <v>https://kokusho.nijl.ac.jp/biblio/100314627/91</v>
      </c>
      <c r="E561" s="22"/>
      <c r="F561" s="22"/>
      <c r="G561" s="22"/>
    </row>
    <row r="562" spans="1:7" x14ac:dyDescent="0.15">
      <c r="A562" s="27" t="s">
        <v>8648</v>
      </c>
      <c r="B562" s="19" t="s">
        <v>7670</v>
      </c>
      <c r="C562" s="22"/>
      <c r="D562" s="19" t="str">
        <f t="shared" si="20"/>
        <v>https://kokusho.nijl.ac.jp/biblio/100314627/91</v>
      </c>
      <c r="E562" s="22"/>
      <c r="F562" s="22"/>
      <c r="G562" s="22"/>
    </row>
    <row r="563" spans="1:7" x14ac:dyDescent="0.15">
      <c r="A563" s="27" t="s">
        <v>8648</v>
      </c>
      <c r="B563" s="19" t="s">
        <v>7706</v>
      </c>
      <c r="C563" s="22"/>
      <c r="D563" s="19" t="str">
        <f t="shared" si="20"/>
        <v>https://kokusho.nijl.ac.jp/biblio/100314627/91</v>
      </c>
      <c r="E563" s="22"/>
      <c r="F563" s="22"/>
      <c r="G563" s="22"/>
    </row>
    <row r="564" spans="1:7" x14ac:dyDescent="0.15">
      <c r="A564" s="27" t="s">
        <v>8648</v>
      </c>
      <c r="B564" s="19" t="s">
        <v>7699</v>
      </c>
      <c r="C564" s="22"/>
      <c r="D564" s="19" t="str">
        <f t="shared" si="20"/>
        <v>https://kokusho.nijl.ac.jp/biblio/100314627/91</v>
      </c>
      <c r="E564" s="22"/>
      <c r="F564" s="22"/>
      <c r="G564" s="22"/>
    </row>
    <row r="565" spans="1:7" x14ac:dyDescent="0.15">
      <c r="A565" s="27" t="s">
        <v>8648</v>
      </c>
      <c r="B565" s="19" t="s">
        <v>8802</v>
      </c>
      <c r="C565" s="22"/>
      <c r="D565" s="19" t="str">
        <f t="shared" si="20"/>
        <v>https://kokusho.nijl.ac.jp/biblio/100314627/91</v>
      </c>
      <c r="E565" s="22"/>
      <c r="F565" s="22"/>
      <c r="G565" s="22"/>
    </row>
    <row r="566" spans="1:7" x14ac:dyDescent="0.15">
      <c r="A566" s="27" t="s">
        <v>8648</v>
      </c>
      <c r="B566" s="19" t="s">
        <v>5773</v>
      </c>
      <c r="C566" s="22"/>
      <c r="D566" s="19" t="str">
        <f t="shared" si="20"/>
        <v>https://kokusho.nijl.ac.jp/biblio/100314627/91</v>
      </c>
      <c r="E566" s="22"/>
      <c r="F566" s="22"/>
      <c r="G566" s="22"/>
    </row>
    <row r="567" spans="1:7" x14ac:dyDescent="0.15">
      <c r="A567" s="27" t="s">
        <v>8648</v>
      </c>
      <c r="B567" s="19" t="s">
        <v>8803</v>
      </c>
      <c r="C567" s="22"/>
      <c r="D567" s="19" t="str">
        <f t="shared" si="20"/>
        <v>https://kokusho.nijl.ac.jp/biblio/100314627/91</v>
      </c>
      <c r="E567" s="22"/>
      <c r="F567" s="22"/>
      <c r="G567" s="22"/>
    </row>
    <row r="568" spans="1:7" x14ac:dyDescent="0.15">
      <c r="A568" s="27" t="s">
        <v>8648</v>
      </c>
      <c r="B568" s="19" t="s">
        <v>5670</v>
      </c>
      <c r="C568" s="22"/>
      <c r="D568" s="19" t="str">
        <f t="shared" si="20"/>
        <v>https://kokusho.nijl.ac.jp/biblio/100314627/91</v>
      </c>
      <c r="E568" s="22"/>
      <c r="F568" s="22"/>
      <c r="G568" s="22"/>
    </row>
    <row r="569" spans="1:7" x14ac:dyDescent="0.15">
      <c r="A569" s="27" t="s">
        <v>8648</v>
      </c>
      <c r="B569" s="19" t="s">
        <v>8804</v>
      </c>
      <c r="C569" s="22"/>
      <c r="D569" s="19" t="str">
        <f t="shared" si="20"/>
        <v>https://kokusho.nijl.ac.jp/biblio/100314627/91</v>
      </c>
      <c r="E569" s="22"/>
      <c r="F569" s="22"/>
      <c r="G569" s="22"/>
    </row>
    <row r="570" spans="1:7" x14ac:dyDescent="0.15">
      <c r="A570" s="27" t="s">
        <v>8648</v>
      </c>
      <c r="B570" s="19" t="s">
        <v>8805</v>
      </c>
      <c r="C570" s="22"/>
      <c r="D570" s="19" t="str">
        <f t="shared" si="20"/>
        <v>https://kokusho.nijl.ac.jp/biblio/100314627/91</v>
      </c>
      <c r="E570" s="22"/>
      <c r="F570" s="22"/>
      <c r="G570" s="22"/>
    </row>
    <row r="571" spans="1:7" x14ac:dyDescent="0.15">
      <c r="A571" s="27" t="s">
        <v>8648</v>
      </c>
      <c r="B571" s="19" t="s">
        <v>5873</v>
      </c>
      <c r="C571" s="22"/>
      <c r="D571" s="19" t="str">
        <f t="shared" si="20"/>
        <v>https://kokusho.nijl.ac.jp/biblio/100314627/91</v>
      </c>
      <c r="E571" s="22"/>
      <c r="F571" s="22"/>
      <c r="G571" s="22"/>
    </row>
    <row r="572" spans="1:7" x14ac:dyDescent="0.15">
      <c r="A572" s="27" t="s">
        <v>8648</v>
      </c>
      <c r="B572" s="19" t="s">
        <v>7659</v>
      </c>
      <c r="C572" s="22"/>
      <c r="D572" s="19" t="str">
        <f t="shared" si="20"/>
        <v>https://kokusho.nijl.ac.jp/biblio/100314627/91</v>
      </c>
      <c r="E572" s="22"/>
      <c r="F572" s="22"/>
      <c r="G572" s="22"/>
    </row>
    <row r="573" spans="1:7" x14ac:dyDescent="0.15">
      <c r="A573" s="27" t="s">
        <v>8648</v>
      </c>
      <c r="B573" s="20" t="s">
        <v>8806</v>
      </c>
      <c r="C573" s="22"/>
      <c r="D573" s="19" t="str">
        <f t="shared" ref="D573:D588" si="21">HYPERLINK("https://kokusho.nijl.ac.jp/biblio/100314627/92")</f>
        <v>https://kokusho.nijl.ac.jp/biblio/100314627/92</v>
      </c>
      <c r="E573" s="22"/>
      <c r="F573" s="22"/>
      <c r="G573" s="22"/>
    </row>
    <row r="574" spans="1:7" x14ac:dyDescent="0.15">
      <c r="A574" s="27" t="s">
        <v>8648</v>
      </c>
      <c r="B574" s="19" t="s">
        <v>6475</v>
      </c>
      <c r="C574" s="22"/>
      <c r="D574" s="19" t="str">
        <f t="shared" si="21"/>
        <v>https://kokusho.nijl.ac.jp/biblio/100314627/92</v>
      </c>
      <c r="E574" s="22"/>
      <c r="F574" s="22"/>
      <c r="G574" s="22"/>
    </row>
    <row r="575" spans="1:7" x14ac:dyDescent="0.15">
      <c r="A575" s="27" t="s">
        <v>8648</v>
      </c>
      <c r="B575" s="19" t="s">
        <v>8807</v>
      </c>
      <c r="C575" s="22"/>
      <c r="D575" s="19" t="str">
        <f t="shared" si="21"/>
        <v>https://kokusho.nijl.ac.jp/biblio/100314627/92</v>
      </c>
      <c r="E575" s="22"/>
      <c r="F575" s="22"/>
      <c r="G575" s="22"/>
    </row>
    <row r="576" spans="1:7" x14ac:dyDescent="0.15">
      <c r="A576" s="27" t="s">
        <v>8648</v>
      </c>
      <c r="B576" s="19" t="s">
        <v>8808</v>
      </c>
      <c r="C576" s="22"/>
      <c r="D576" s="19" t="str">
        <f t="shared" si="21"/>
        <v>https://kokusho.nijl.ac.jp/biblio/100314627/92</v>
      </c>
      <c r="E576" s="22"/>
      <c r="F576" s="22"/>
      <c r="G576" s="22"/>
    </row>
    <row r="577" spans="1:7" x14ac:dyDescent="0.15">
      <c r="A577" s="27" t="s">
        <v>8648</v>
      </c>
      <c r="B577" s="19" t="s">
        <v>8809</v>
      </c>
      <c r="C577" s="22"/>
      <c r="D577" s="19" t="str">
        <f t="shared" si="21"/>
        <v>https://kokusho.nijl.ac.jp/biblio/100314627/92</v>
      </c>
      <c r="E577" s="22"/>
      <c r="F577" s="22"/>
      <c r="G577" s="22"/>
    </row>
    <row r="578" spans="1:7" x14ac:dyDescent="0.15">
      <c r="A578" s="27" t="s">
        <v>8648</v>
      </c>
      <c r="B578" s="19" t="s">
        <v>7789</v>
      </c>
      <c r="C578" s="22"/>
      <c r="D578" s="19" t="str">
        <f t="shared" si="21"/>
        <v>https://kokusho.nijl.ac.jp/biblio/100314627/92</v>
      </c>
      <c r="E578" s="22"/>
      <c r="F578" s="22"/>
      <c r="G578" s="22"/>
    </row>
    <row r="579" spans="1:7" x14ac:dyDescent="0.15">
      <c r="A579" s="27" t="s">
        <v>8648</v>
      </c>
      <c r="B579" s="19" t="s">
        <v>8810</v>
      </c>
      <c r="C579" s="22"/>
      <c r="D579" s="19" t="str">
        <f t="shared" si="21"/>
        <v>https://kokusho.nijl.ac.jp/biblio/100314627/92</v>
      </c>
      <c r="E579" s="22"/>
      <c r="F579" s="22"/>
      <c r="G579" s="22"/>
    </row>
    <row r="580" spans="1:7" x14ac:dyDescent="0.15">
      <c r="A580" s="27" t="s">
        <v>8648</v>
      </c>
      <c r="B580" s="19" t="s">
        <v>8811</v>
      </c>
      <c r="C580" s="22"/>
      <c r="D580" s="19" t="str">
        <f t="shared" si="21"/>
        <v>https://kokusho.nijl.ac.jp/biblio/100314627/92</v>
      </c>
      <c r="E580" s="22"/>
      <c r="F580" s="22"/>
      <c r="G580" s="22"/>
    </row>
    <row r="581" spans="1:7" x14ac:dyDescent="0.15">
      <c r="A581" s="27" t="s">
        <v>8648</v>
      </c>
      <c r="B581" s="19" t="s">
        <v>8812</v>
      </c>
      <c r="C581" s="22"/>
      <c r="D581" s="19" t="str">
        <f t="shared" si="21"/>
        <v>https://kokusho.nijl.ac.jp/biblio/100314627/92</v>
      </c>
      <c r="E581" s="22"/>
      <c r="F581" s="22"/>
      <c r="G581" s="22"/>
    </row>
    <row r="582" spans="1:7" x14ac:dyDescent="0.15">
      <c r="A582" s="27" t="s">
        <v>8648</v>
      </c>
      <c r="B582" s="19" t="s">
        <v>8813</v>
      </c>
      <c r="C582" s="22"/>
      <c r="D582" s="19" t="str">
        <f t="shared" si="21"/>
        <v>https://kokusho.nijl.ac.jp/biblio/100314627/92</v>
      </c>
      <c r="E582" s="22"/>
      <c r="F582" s="22"/>
      <c r="G582" s="22"/>
    </row>
    <row r="583" spans="1:7" x14ac:dyDescent="0.15">
      <c r="A583" s="27" t="s">
        <v>8648</v>
      </c>
      <c r="B583" s="19" t="s">
        <v>8814</v>
      </c>
      <c r="C583" s="22"/>
      <c r="D583" s="19" t="str">
        <f t="shared" si="21"/>
        <v>https://kokusho.nijl.ac.jp/biblio/100314627/92</v>
      </c>
      <c r="E583" s="22"/>
      <c r="F583" s="22"/>
      <c r="G583" s="22"/>
    </row>
    <row r="584" spans="1:7" x14ac:dyDescent="0.15">
      <c r="A584" s="27" t="s">
        <v>8648</v>
      </c>
      <c r="B584" s="19" t="s">
        <v>8815</v>
      </c>
      <c r="C584" s="22"/>
      <c r="D584" s="19" t="str">
        <f t="shared" si="21"/>
        <v>https://kokusho.nijl.ac.jp/biblio/100314627/92</v>
      </c>
      <c r="E584" s="22"/>
      <c r="F584" s="22"/>
      <c r="G584" s="22"/>
    </row>
    <row r="585" spans="1:7" x14ac:dyDescent="0.15">
      <c r="A585" s="27" t="s">
        <v>8648</v>
      </c>
      <c r="B585" s="19" t="s">
        <v>8816</v>
      </c>
      <c r="C585" s="22"/>
      <c r="D585" s="19" t="str">
        <f t="shared" si="21"/>
        <v>https://kokusho.nijl.ac.jp/biblio/100314627/92</v>
      </c>
      <c r="E585" s="22"/>
      <c r="F585" s="22"/>
      <c r="G585" s="22"/>
    </row>
    <row r="586" spans="1:7" x14ac:dyDescent="0.15">
      <c r="A586" s="27" t="s">
        <v>8648</v>
      </c>
      <c r="B586" s="19" t="s">
        <v>8817</v>
      </c>
      <c r="C586" s="22"/>
      <c r="D586" s="19" t="str">
        <f t="shared" si="21"/>
        <v>https://kokusho.nijl.ac.jp/biblio/100314627/92</v>
      </c>
      <c r="E586" s="22"/>
      <c r="F586" s="22"/>
      <c r="G586" s="22"/>
    </row>
    <row r="587" spans="1:7" x14ac:dyDescent="0.15">
      <c r="A587" s="27" t="s">
        <v>8648</v>
      </c>
      <c r="B587" s="19" t="s">
        <v>8818</v>
      </c>
      <c r="C587" s="22"/>
      <c r="D587" s="19" t="str">
        <f t="shared" si="21"/>
        <v>https://kokusho.nijl.ac.jp/biblio/100314627/92</v>
      </c>
      <c r="E587" s="22"/>
      <c r="F587" s="22"/>
      <c r="G587" s="22"/>
    </row>
    <row r="588" spans="1:7" x14ac:dyDescent="0.15">
      <c r="A588" s="27" t="s">
        <v>8648</v>
      </c>
      <c r="B588" s="19" t="s">
        <v>8819</v>
      </c>
      <c r="C588" s="22"/>
      <c r="D588" s="19" t="str">
        <f t="shared" si="21"/>
        <v>https://kokusho.nijl.ac.jp/biblio/100314627/92</v>
      </c>
      <c r="E588" s="22"/>
      <c r="F588" s="22"/>
      <c r="G588" s="22"/>
    </row>
    <row r="589" spans="1:7" x14ac:dyDescent="0.15">
      <c r="A589" s="27" t="s">
        <v>8648</v>
      </c>
      <c r="B589" s="19" t="s">
        <v>8820</v>
      </c>
      <c r="C589" s="22"/>
      <c r="D589" s="19" t="str">
        <f t="shared" ref="D589:D598" si="22">HYPERLINK("https://kokusho.nijl.ac.jp/biblio/100314627/93")</f>
        <v>https://kokusho.nijl.ac.jp/biblio/100314627/93</v>
      </c>
      <c r="E589" s="22"/>
      <c r="F589" s="22"/>
      <c r="G589" s="22"/>
    </row>
    <row r="590" spans="1:7" x14ac:dyDescent="0.15">
      <c r="A590" s="27" t="s">
        <v>8648</v>
      </c>
      <c r="B590" s="20" t="s">
        <v>8821</v>
      </c>
      <c r="C590" s="22"/>
      <c r="D590" s="19" t="str">
        <f t="shared" si="22"/>
        <v>https://kokusho.nijl.ac.jp/biblio/100314627/93</v>
      </c>
      <c r="E590" s="22"/>
      <c r="F590" s="22"/>
      <c r="G590" s="22"/>
    </row>
    <row r="591" spans="1:7" x14ac:dyDescent="0.15">
      <c r="A591" s="27" t="s">
        <v>8648</v>
      </c>
      <c r="B591" s="19" t="s">
        <v>8822</v>
      </c>
      <c r="C591" s="22"/>
      <c r="D591" s="19" t="str">
        <f t="shared" si="22"/>
        <v>https://kokusho.nijl.ac.jp/biblio/100314627/93</v>
      </c>
      <c r="E591" s="22"/>
      <c r="F591" s="22"/>
      <c r="G591" s="22"/>
    </row>
    <row r="592" spans="1:7" x14ac:dyDescent="0.15">
      <c r="A592" s="27" t="s">
        <v>8648</v>
      </c>
      <c r="B592" s="19" t="s">
        <v>8823</v>
      </c>
      <c r="C592" s="22"/>
      <c r="D592" s="19" t="str">
        <f t="shared" si="22"/>
        <v>https://kokusho.nijl.ac.jp/biblio/100314627/93</v>
      </c>
      <c r="E592" s="22"/>
      <c r="F592" s="22"/>
      <c r="G592" s="22"/>
    </row>
    <row r="593" spans="1:7" x14ac:dyDescent="0.15">
      <c r="A593" s="27" t="s">
        <v>8648</v>
      </c>
      <c r="B593" s="19" t="s">
        <v>8824</v>
      </c>
      <c r="C593" s="22"/>
      <c r="D593" s="19" t="str">
        <f t="shared" si="22"/>
        <v>https://kokusho.nijl.ac.jp/biblio/100314627/93</v>
      </c>
      <c r="E593" s="22"/>
      <c r="F593" s="22"/>
      <c r="G593" s="22"/>
    </row>
    <row r="594" spans="1:7" x14ac:dyDescent="0.15">
      <c r="A594" s="27" t="s">
        <v>8648</v>
      </c>
      <c r="B594" s="19" t="s">
        <v>8825</v>
      </c>
      <c r="C594" s="22"/>
      <c r="D594" s="19" t="str">
        <f t="shared" si="22"/>
        <v>https://kokusho.nijl.ac.jp/biblio/100314627/93</v>
      </c>
      <c r="E594" s="22"/>
      <c r="F594" s="22"/>
      <c r="G594" s="22"/>
    </row>
    <row r="595" spans="1:7" x14ac:dyDescent="0.15">
      <c r="A595" s="27" t="s">
        <v>8648</v>
      </c>
      <c r="B595" s="19" t="s">
        <v>7839</v>
      </c>
      <c r="C595" s="22"/>
      <c r="D595" s="19" t="str">
        <f t="shared" si="22"/>
        <v>https://kokusho.nijl.ac.jp/biblio/100314627/93</v>
      </c>
      <c r="E595" s="22"/>
      <c r="F595" s="22"/>
      <c r="G595" s="22"/>
    </row>
    <row r="596" spans="1:7" x14ac:dyDescent="0.15">
      <c r="A596" s="27" t="s">
        <v>8648</v>
      </c>
      <c r="B596" s="19" t="s">
        <v>8826</v>
      </c>
      <c r="C596" s="22"/>
      <c r="D596" s="19" t="str">
        <f t="shared" si="22"/>
        <v>https://kokusho.nijl.ac.jp/biblio/100314627/93</v>
      </c>
      <c r="E596" s="22"/>
      <c r="F596" s="22"/>
      <c r="G596" s="22"/>
    </row>
    <row r="597" spans="1:7" x14ac:dyDescent="0.15">
      <c r="A597" s="27" t="s">
        <v>8648</v>
      </c>
      <c r="B597" s="19" t="s">
        <v>8827</v>
      </c>
      <c r="C597" s="22"/>
      <c r="D597" s="19" t="str">
        <f t="shared" si="22"/>
        <v>https://kokusho.nijl.ac.jp/biblio/100314627/93</v>
      </c>
      <c r="E597" s="22"/>
      <c r="F597" s="22"/>
      <c r="G597" s="22"/>
    </row>
    <row r="598" spans="1:7" x14ac:dyDescent="0.15">
      <c r="A598" s="27" t="s">
        <v>8648</v>
      </c>
      <c r="B598" s="19" t="s">
        <v>8549</v>
      </c>
      <c r="C598" s="22"/>
      <c r="D598" s="19" t="str">
        <f t="shared" si="22"/>
        <v>https://kokusho.nijl.ac.jp/biblio/100314627/93</v>
      </c>
      <c r="E598" s="22"/>
      <c r="F598" s="22"/>
      <c r="G598" s="22"/>
    </row>
    <row r="599" spans="1:7" x14ac:dyDescent="0.15">
      <c r="A599" s="27" t="s">
        <v>8648</v>
      </c>
      <c r="B599" s="19" t="s">
        <v>8828</v>
      </c>
      <c r="C599" s="22"/>
      <c r="D599" s="19" t="str">
        <f t="shared" ref="D599:D609" si="23">HYPERLINK("https://kokusho.nijl.ac.jp/biblio/100314627/94")</f>
        <v>https://kokusho.nijl.ac.jp/biblio/100314627/94</v>
      </c>
      <c r="E599" s="22"/>
      <c r="F599" s="22"/>
      <c r="G599" s="22"/>
    </row>
    <row r="600" spans="1:7" x14ac:dyDescent="0.15">
      <c r="A600" s="27" t="s">
        <v>8648</v>
      </c>
      <c r="B600" s="19" t="s">
        <v>8829</v>
      </c>
      <c r="C600" s="22"/>
      <c r="D600" s="19" t="str">
        <f t="shared" si="23"/>
        <v>https://kokusho.nijl.ac.jp/biblio/100314627/94</v>
      </c>
      <c r="E600" s="22"/>
      <c r="F600" s="22"/>
      <c r="G600" s="22"/>
    </row>
    <row r="601" spans="1:7" x14ac:dyDescent="0.15">
      <c r="A601" s="27" t="s">
        <v>8648</v>
      </c>
      <c r="B601" s="19" t="s">
        <v>8830</v>
      </c>
      <c r="C601" s="22"/>
      <c r="D601" s="19" t="str">
        <f t="shared" si="23"/>
        <v>https://kokusho.nijl.ac.jp/biblio/100314627/94</v>
      </c>
      <c r="E601" s="22"/>
      <c r="F601" s="22"/>
      <c r="G601" s="22"/>
    </row>
    <row r="602" spans="1:7" x14ac:dyDescent="0.15">
      <c r="A602" s="27" t="s">
        <v>8648</v>
      </c>
      <c r="B602" s="19" t="s">
        <v>8831</v>
      </c>
      <c r="C602" s="22"/>
      <c r="D602" s="19" t="str">
        <f t="shared" si="23"/>
        <v>https://kokusho.nijl.ac.jp/biblio/100314627/94</v>
      </c>
      <c r="E602" s="22"/>
      <c r="F602" s="22"/>
      <c r="G602" s="22"/>
    </row>
    <row r="603" spans="1:7" x14ac:dyDescent="0.15">
      <c r="A603" s="27" t="s">
        <v>8648</v>
      </c>
      <c r="B603" s="19" t="s">
        <v>8550</v>
      </c>
      <c r="C603" s="22"/>
      <c r="D603" s="19" t="str">
        <f t="shared" si="23"/>
        <v>https://kokusho.nijl.ac.jp/biblio/100314627/94</v>
      </c>
      <c r="E603" s="22"/>
      <c r="F603" s="22"/>
      <c r="G603" s="22"/>
    </row>
    <row r="604" spans="1:7" x14ac:dyDescent="0.15">
      <c r="A604" s="27" t="s">
        <v>8648</v>
      </c>
      <c r="B604" s="19" t="s">
        <v>8832</v>
      </c>
      <c r="C604" s="22"/>
      <c r="D604" s="19" t="str">
        <f t="shared" si="23"/>
        <v>https://kokusho.nijl.ac.jp/biblio/100314627/94</v>
      </c>
      <c r="E604" s="22"/>
      <c r="F604" s="22"/>
      <c r="G604" s="22"/>
    </row>
    <row r="605" spans="1:7" x14ac:dyDescent="0.15">
      <c r="A605" s="27" t="s">
        <v>8648</v>
      </c>
      <c r="B605" s="19" t="s">
        <v>8833</v>
      </c>
      <c r="C605" s="22"/>
      <c r="D605" s="19" t="str">
        <f t="shared" si="23"/>
        <v>https://kokusho.nijl.ac.jp/biblio/100314627/94</v>
      </c>
      <c r="E605" s="22"/>
      <c r="F605" s="22"/>
      <c r="G605" s="22"/>
    </row>
    <row r="606" spans="1:7" x14ac:dyDescent="0.15">
      <c r="A606" s="27" t="s">
        <v>8648</v>
      </c>
      <c r="B606" s="19" t="s">
        <v>8834</v>
      </c>
      <c r="C606" s="22"/>
      <c r="D606" s="19" t="str">
        <f t="shared" si="23"/>
        <v>https://kokusho.nijl.ac.jp/biblio/100314627/94</v>
      </c>
      <c r="E606" s="22"/>
      <c r="F606" s="22"/>
      <c r="G606" s="22"/>
    </row>
    <row r="607" spans="1:7" x14ac:dyDescent="0.15">
      <c r="A607" s="27" t="s">
        <v>8648</v>
      </c>
      <c r="B607" s="19" t="s">
        <v>7801</v>
      </c>
      <c r="C607" s="22"/>
      <c r="D607" s="19" t="str">
        <f t="shared" si="23"/>
        <v>https://kokusho.nijl.ac.jp/biblio/100314627/94</v>
      </c>
      <c r="E607" s="22"/>
      <c r="F607" s="22"/>
      <c r="G607" s="22"/>
    </row>
    <row r="608" spans="1:7" x14ac:dyDescent="0.15">
      <c r="A608" s="27" t="s">
        <v>8648</v>
      </c>
      <c r="B608" s="19" t="s">
        <v>8835</v>
      </c>
      <c r="C608" s="22"/>
      <c r="D608" s="19" t="str">
        <f t="shared" si="23"/>
        <v>https://kokusho.nijl.ac.jp/biblio/100314627/94</v>
      </c>
      <c r="E608" s="22"/>
      <c r="F608" s="22"/>
      <c r="G608" s="22"/>
    </row>
    <row r="609" spans="1:7" x14ac:dyDescent="0.15">
      <c r="A609" s="27" t="s">
        <v>8648</v>
      </c>
      <c r="B609" s="19" t="s">
        <v>8624</v>
      </c>
      <c r="C609" s="22"/>
      <c r="D609" s="19" t="str">
        <f t="shared" si="23"/>
        <v>https://kokusho.nijl.ac.jp/biblio/100314627/94</v>
      </c>
      <c r="E609" s="22"/>
      <c r="F609" s="22"/>
      <c r="G609" s="22"/>
    </row>
    <row r="610" spans="1:7" x14ac:dyDescent="0.15">
      <c r="A610" s="27" t="s">
        <v>8648</v>
      </c>
      <c r="B610" s="19" t="s">
        <v>5943</v>
      </c>
      <c r="C610" s="22"/>
      <c r="D610" s="19" t="str">
        <f t="shared" ref="D610:D622" si="24">HYPERLINK("https://kokusho.nijl.ac.jp/biblio/100314627/95")</f>
        <v>https://kokusho.nijl.ac.jp/biblio/100314627/95</v>
      </c>
      <c r="E610" s="22"/>
      <c r="F610" s="22"/>
      <c r="G610" s="22"/>
    </row>
    <row r="611" spans="1:7" x14ac:dyDescent="0.15">
      <c r="A611" s="27" t="s">
        <v>8648</v>
      </c>
      <c r="B611" s="19" t="s">
        <v>8836</v>
      </c>
      <c r="C611" s="22"/>
      <c r="D611" s="19" t="str">
        <f t="shared" si="24"/>
        <v>https://kokusho.nijl.ac.jp/biblio/100314627/95</v>
      </c>
      <c r="E611" s="22"/>
      <c r="F611" s="22"/>
      <c r="G611" s="22"/>
    </row>
    <row r="612" spans="1:7" x14ac:dyDescent="0.15">
      <c r="A612" s="27" t="s">
        <v>8648</v>
      </c>
      <c r="B612" s="19" t="s">
        <v>8837</v>
      </c>
      <c r="C612" s="22"/>
      <c r="D612" s="19" t="str">
        <f t="shared" si="24"/>
        <v>https://kokusho.nijl.ac.jp/biblio/100314627/95</v>
      </c>
      <c r="E612" s="22"/>
      <c r="F612" s="22"/>
      <c r="G612" s="22"/>
    </row>
    <row r="613" spans="1:7" x14ac:dyDescent="0.15">
      <c r="A613" s="27" t="s">
        <v>8648</v>
      </c>
      <c r="B613" s="19" t="s">
        <v>8838</v>
      </c>
      <c r="C613" s="22"/>
      <c r="D613" s="19" t="str">
        <f t="shared" si="24"/>
        <v>https://kokusho.nijl.ac.jp/biblio/100314627/95</v>
      </c>
      <c r="E613" s="22"/>
      <c r="F613" s="22"/>
      <c r="G613" s="22"/>
    </row>
    <row r="614" spans="1:7" x14ac:dyDescent="0.15">
      <c r="A614" s="27" t="s">
        <v>8648</v>
      </c>
      <c r="B614" s="19" t="s">
        <v>8839</v>
      </c>
      <c r="C614" s="22"/>
      <c r="D614" s="19" t="str">
        <f t="shared" si="24"/>
        <v>https://kokusho.nijl.ac.jp/biblio/100314627/95</v>
      </c>
      <c r="E614" s="22"/>
      <c r="F614" s="22"/>
      <c r="G614" s="22"/>
    </row>
    <row r="615" spans="1:7" x14ac:dyDescent="0.15">
      <c r="A615" s="27" t="s">
        <v>8648</v>
      </c>
      <c r="B615" s="19" t="s">
        <v>5936</v>
      </c>
      <c r="C615" s="22"/>
      <c r="D615" s="19" t="str">
        <f t="shared" si="24"/>
        <v>https://kokusho.nijl.ac.jp/biblio/100314627/95</v>
      </c>
      <c r="E615" s="22"/>
      <c r="F615" s="22"/>
      <c r="G615" s="22"/>
    </row>
    <row r="616" spans="1:7" x14ac:dyDescent="0.15">
      <c r="A616" s="27" t="s">
        <v>8648</v>
      </c>
      <c r="B616" s="19" t="s">
        <v>8840</v>
      </c>
      <c r="C616" s="22"/>
      <c r="D616" s="19" t="str">
        <f t="shared" si="24"/>
        <v>https://kokusho.nijl.ac.jp/biblio/100314627/95</v>
      </c>
      <c r="E616" s="22"/>
      <c r="F616" s="22"/>
      <c r="G616" s="22"/>
    </row>
    <row r="617" spans="1:7" x14ac:dyDescent="0.15">
      <c r="A617" s="27" t="s">
        <v>8648</v>
      </c>
      <c r="B617" s="19" t="s">
        <v>8841</v>
      </c>
      <c r="C617" s="22"/>
      <c r="D617" s="19" t="str">
        <f t="shared" si="24"/>
        <v>https://kokusho.nijl.ac.jp/biblio/100314627/95</v>
      </c>
      <c r="E617" s="22"/>
      <c r="F617" s="22"/>
      <c r="G617" s="22"/>
    </row>
    <row r="618" spans="1:7" x14ac:dyDescent="0.15">
      <c r="A618" s="27" t="s">
        <v>8648</v>
      </c>
      <c r="B618" s="19" t="s">
        <v>5901</v>
      </c>
      <c r="C618" s="22"/>
      <c r="D618" s="19" t="str">
        <f t="shared" si="24"/>
        <v>https://kokusho.nijl.ac.jp/biblio/100314627/95</v>
      </c>
      <c r="E618" s="22"/>
      <c r="F618" s="22"/>
      <c r="G618" s="22"/>
    </row>
    <row r="619" spans="1:7" x14ac:dyDescent="0.15">
      <c r="A619" s="27" t="s">
        <v>8648</v>
      </c>
      <c r="B619" s="19" t="s">
        <v>8842</v>
      </c>
      <c r="C619" s="22"/>
      <c r="D619" s="19" t="str">
        <f t="shared" si="24"/>
        <v>https://kokusho.nijl.ac.jp/biblio/100314627/95</v>
      </c>
      <c r="E619" s="22"/>
      <c r="F619" s="22"/>
      <c r="G619" s="22"/>
    </row>
    <row r="620" spans="1:7" x14ac:dyDescent="0.15">
      <c r="A620" s="27" t="s">
        <v>8648</v>
      </c>
      <c r="B620" s="19" t="s">
        <v>8843</v>
      </c>
      <c r="C620" s="22"/>
      <c r="D620" s="19" t="str">
        <f t="shared" si="24"/>
        <v>https://kokusho.nijl.ac.jp/biblio/100314627/95</v>
      </c>
      <c r="E620" s="22"/>
      <c r="F620" s="22"/>
      <c r="G620" s="22"/>
    </row>
    <row r="621" spans="1:7" x14ac:dyDescent="0.15">
      <c r="A621" s="27" t="s">
        <v>8648</v>
      </c>
      <c r="B621" s="19" t="s">
        <v>8844</v>
      </c>
      <c r="C621" s="22"/>
      <c r="D621" s="19" t="str">
        <f t="shared" si="24"/>
        <v>https://kokusho.nijl.ac.jp/biblio/100314627/95</v>
      </c>
      <c r="E621" s="22"/>
      <c r="F621" s="22"/>
      <c r="G621" s="22"/>
    </row>
    <row r="622" spans="1:7" x14ac:dyDescent="0.15">
      <c r="A622" s="27" t="s">
        <v>8648</v>
      </c>
      <c r="B622" s="19" t="s">
        <v>8845</v>
      </c>
      <c r="C622" s="22"/>
      <c r="D622" s="19" t="str">
        <f t="shared" si="24"/>
        <v>https://kokusho.nijl.ac.jp/biblio/100314627/95</v>
      </c>
      <c r="E622" s="22"/>
      <c r="F622" s="22"/>
      <c r="G622" s="22"/>
    </row>
    <row r="623" spans="1:7" x14ac:dyDescent="0.15">
      <c r="A623" s="27" t="s">
        <v>8648</v>
      </c>
      <c r="B623" s="20" t="s">
        <v>8846</v>
      </c>
      <c r="C623" s="22"/>
      <c r="D623" s="19" t="str">
        <f t="shared" ref="D623:D630" si="25">HYPERLINK("https://kokusho.nijl.ac.jp/biblio/100314627/96")</f>
        <v>https://kokusho.nijl.ac.jp/biblio/100314627/96</v>
      </c>
      <c r="E623" s="22"/>
      <c r="F623" s="22"/>
      <c r="G623" s="22"/>
    </row>
    <row r="624" spans="1:7" x14ac:dyDescent="0.15">
      <c r="A624" s="27" t="s">
        <v>8648</v>
      </c>
      <c r="B624" s="19" t="s">
        <v>8847</v>
      </c>
      <c r="C624" s="22"/>
      <c r="D624" s="19" t="str">
        <f t="shared" si="25"/>
        <v>https://kokusho.nijl.ac.jp/biblio/100314627/96</v>
      </c>
      <c r="E624" s="22"/>
      <c r="F624" s="22"/>
      <c r="G624" s="22"/>
    </row>
    <row r="625" spans="1:7" x14ac:dyDescent="0.15">
      <c r="A625" s="27" t="s">
        <v>8648</v>
      </c>
      <c r="B625" s="19" t="s">
        <v>6294</v>
      </c>
      <c r="C625" s="22"/>
      <c r="D625" s="19" t="str">
        <f t="shared" si="25"/>
        <v>https://kokusho.nijl.ac.jp/biblio/100314627/96</v>
      </c>
      <c r="E625" s="22"/>
      <c r="F625" s="22"/>
      <c r="G625" s="22"/>
    </row>
    <row r="626" spans="1:7" x14ac:dyDescent="0.15">
      <c r="A626" s="27" t="s">
        <v>8648</v>
      </c>
      <c r="B626" s="19" t="s">
        <v>8848</v>
      </c>
      <c r="C626" s="22"/>
      <c r="D626" s="19" t="str">
        <f t="shared" si="25"/>
        <v>https://kokusho.nijl.ac.jp/biblio/100314627/96</v>
      </c>
      <c r="E626" s="22"/>
      <c r="F626" s="22"/>
      <c r="G626" s="22"/>
    </row>
    <row r="627" spans="1:7" x14ac:dyDescent="0.15">
      <c r="A627" s="27" t="s">
        <v>8648</v>
      </c>
      <c r="B627" s="19" t="s">
        <v>8849</v>
      </c>
      <c r="C627" s="22"/>
      <c r="D627" s="19" t="str">
        <f t="shared" si="25"/>
        <v>https://kokusho.nijl.ac.jp/biblio/100314627/96</v>
      </c>
      <c r="E627" s="22"/>
      <c r="F627" s="22"/>
      <c r="G627" s="22"/>
    </row>
    <row r="628" spans="1:7" x14ac:dyDescent="0.15">
      <c r="A628" s="27" t="s">
        <v>8648</v>
      </c>
      <c r="B628" s="19" t="s">
        <v>8850</v>
      </c>
      <c r="C628" s="22"/>
      <c r="D628" s="19" t="str">
        <f t="shared" si="25"/>
        <v>https://kokusho.nijl.ac.jp/biblio/100314627/96</v>
      </c>
      <c r="E628" s="22"/>
      <c r="F628" s="22"/>
      <c r="G628" s="22"/>
    </row>
    <row r="629" spans="1:7" x14ac:dyDescent="0.15">
      <c r="A629" s="27" t="s">
        <v>8648</v>
      </c>
      <c r="B629" s="19" t="s">
        <v>8851</v>
      </c>
      <c r="C629" s="22"/>
      <c r="D629" s="19" t="str">
        <f t="shared" si="25"/>
        <v>https://kokusho.nijl.ac.jp/biblio/100314627/96</v>
      </c>
      <c r="E629" s="22"/>
      <c r="F629" s="22"/>
      <c r="G629" s="22"/>
    </row>
    <row r="630" spans="1:7" x14ac:dyDescent="0.15">
      <c r="A630" s="27" t="s">
        <v>8648</v>
      </c>
      <c r="B630" s="19" t="s">
        <v>8852</v>
      </c>
      <c r="C630" s="22"/>
      <c r="D630" s="19" t="str">
        <f t="shared" si="25"/>
        <v>https://kokusho.nijl.ac.jp/biblio/100314627/96</v>
      </c>
      <c r="E630" s="22"/>
      <c r="F630" s="22"/>
      <c r="G630" s="22"/>
    </row>
    <row r="631" spans="1:7" x14ac:dyDescent="0.15">
      <c r="A631" s="27" t="s">
        <v>8648</v>
      </c>
      <c r="B631" s="19" t="s">
        <v>8614</v>
      </c>
      <c r="C631" s="22"/>
      <c r="D631" s="19" t="str">
        <f t="shared" ref="D631:D641" si="26">HYPERLINK("https://kokusho.nijl.ac.jp/biblio/100314627/97")</f>
        <v>https://kokusho.nijl.ac.jp/biblio/100314627/97</v>
      </c>
      <c r="E631" s="22"/>
      <c r="F631" s="22"/>
      <c r="G631" s="22"/>
    </row>
    <row r="632" spans="1:7" x14ac:dyDescent="0.15">
      <c r="A632" s="27" t="s">
        <v>8648</v>
      </c>
      <c r="B632" s="19" t="s">
        <v>8853</v>
      </c>
      <c r="C632" s="22"/>
      <c r="D632" s="19" t="str">
        <f t="shared" si="26"/>
        <v>https://kokusho.nijl.ac.jp/biblio/100314627/97</v>
      </c>
      <c r="E632" s="22"/>
      <c r="F632" s="22"/>
      <c r="G632" s="22"/>
    </row>
    <row r="633" spans="1:7" x14ac:dyDescent="0.15">
      <c r="A633" s="27" t="s">
        <v>8648</v>
      </c>
      <c r="B633" s="19" t="s">
        <v>8854</v>
      </c>
      <c r="C633" s="22"/>
      <c r="D633" s="19" t="str">
        <f t="shared" si="26"/>
        <v>https://kokusho.nijl.ac.jp/biblio/100314627/97</v>
      </c>
      <c r="E633" s="22"/>
      <c r="F633" s="22"/>
      <c r="G633" s="22"/>
    </row>
    <row r="634" spans="1:7" x14ac:dyDescent="0.15">
      <c r="A634" s="27" t="s">
        <v>8648</v>
      </c>
      <c r="B634" s="19" t="s">
        <v>8855</v>
      </c>
      <c r="C634" s="22"/>
      <c r="D634" s="19" t="str">
        <f t="shared" si="26"/>
        <v>https://kokusho.nijl.ac.jp/biblio/100314627/97</v>
      </c>
      <c r="E634" s="22"/>
      <c r="F634" s="22"/>
      <c r="G634" s="22"/>
    </row>
    <row r="635" spans="1:7" x14ac:dyDescent="0.15">
      <c r="A635" s="27" t="s">
        <v>8648</v>
      </c>
      <c r="B635" s="19" t="s">
        <v>6270</v>
      </c>
      <c r="C635" s="22"/>
      <c r="D635" s="19" t="str">
        <f t="shared" si="26"/>
        <v>https://kokusho.nijl.ac.jp/biblio/100314627/97</v>
      </c>
      <c r="E635" s="22"/>
      <c r="F635" s="22"/>
      <c r="G635" s="22"/>
    </row>
    <row r="636" spans="1:7" x14ac:dyDescent="0.15">
      <c r="A636" s="27" t="s">
        <v>8648</v>
      </c>
      <c r="B636" s="19" t="s">
        <v>8856</v>
      </c>
      <c r="C636" s="22"/>
      <c r="D636" s="19" t="str">
        <f t="shared" si="26"/>
        <v>https://kokusho.nijl.ac.jp/biblio/100314627/97</v>
      </c>
      <c r="E636" s="22"/>
      <c r="F636" s="22"/>
      <c r="G636" s="22"/>
    </row>
    <row r="637" spans="1:7" x14ac:dyDescent="0.15">
      <c r="A637" s="27" t="s">
        <v>8648</v>
      </c>
      <c r="B637" s="19" t="s">
        <v>8857</v>
      </c>
      <c r="C637" s="22"/>
      <c r="D637" s="19" t="str">
        <f t="shared" si="26"/>
        <v>https://kokusho.nijl.ac.jp/biblio/100314627/97</v>
      </c>
      <c r="E637" s="22"/>
      <c r="F637" s="22"/>
      <c r="G637" s="22"/>
    </row>
    <row r="638" spans="1:7" x14ac:dyDescent="0.15">
      <c r="A638" s="27" t="s">
        <v>8648</v>
      </c>
      <c r="B638" s="19" t="s">
        <v>6274</v>
      </c>
      <c r="C638" s="22"/>
      <c r="D638" s="19" t="str">
        <f t="shared" si="26"/>
        <v>https://kokusho.nijl.ac.jp/biblio/100314627/97</v>
      </c>
      <c r="E638" s="22"/>
      <c r="F638" s="22"/>
      <c r="G638" s="22"/>
    </row>
    <row r="639" spans="1:7" x14ac:dyDescent="0.15">
      <c r="A639" s="27" t="s">
        <v>8648</v>
      </c>
      <c r="B639" s="19" t="s">
        <v>8858</v>
      </c>
      <c r="C639" s="22"/>
      <c r="D639" s="19" t="str">
        <f t="shared" si="26"/>
        <v>https://kokusho.nijl.ac.jp/biblio/100314627/97</v>
      </c>
      <c r="E639" s="22"/>
      <c r="F639" s="22"/>
      <c r="G639" s="22"/>
    </row>
    <row r="640" spans="1:7" x14ac:dyDescent="0.15">
      <c r="A640" s="27" t="s">
        <v>8648</v>
      </c>
      <c r="B640" s="19" t="s">
        <v>8859</v>
      </c>
      <c r="C640" s="22"/>
      <c r="D640" s="19" t="str">
        <f t="shared" si="26"/>
        <v>https://kokusho.nijl.ac.jp/biblio/100314627/97</v>
      </c>
      <c r="E640" s="22"/>
      <c r="F640" s="22"/>
      <c r="G640" s="22"/>
    </row>
    <row r="641" spans="1:7" x14ac:dyDescent="0.15">
      <c r="A641" s="27" t="s">
        <v>8648</v>
      </c>
      <c r="B641" s="19" t="s">
        <v>8860</v>
      </c>
      <c r="C641" s="22"/>
      <c r="D641" s="19" t="str">
        <f t="shared" si="26"/>
        <v>https://kokusho.nijl.ac.jp/biblio/100314627/97</v>
      </c>
      <c r="E641" s="22"/>
      <c r="F641" s="22"/>
      <c r="G641" s="22"/>
    </row>
    <row r="642" spans="1:7" x14ac:dyDescent="0.15">
      <c r="A642" s="27" t="s">
        <v>8648</v>
      </c>
      <c r="B642" s="19" t="s">
        <v>8861</v>
      </c>
      <c r="C642" s="22"/>
      <c r="D642" s="19" t="str">
        <f t="shared" ref="D642:D651" si="27">HYPERLINK("https://kokusho.nijl.ac.jp/biblio/100314627/98")</f>
        <v>https://kokusho.nijl.ac.jp/biblio/100314627/98</v>
      </c>
      <c r="E642" s="22"/>
      <c r="F642" s="22"/>
      <c r="G642" s="22"/>
    </row>
    <row r="643" spans="1:7" x14ac:dyDescent="0.15">
      <c r="A643" s="27" t="s">
        <v>8648</v>
      </c>
      <c r="B643" s="20" t="s">
        <v>8862</v>
      </c>
      <c r="C643" s="22"/>
      <c r="D643" s="19" t="str">
        <f t="shared" si="27"/>
        <v>https://kokusho.nijl.ac.jp/biblio/100314627/98</v>
      </c>
      <c r="E643" s="22"/>
      <c r="F643" s="22"/>
      <c r="G643" s="22"/>
    </row>
    <row r="644" spans="1:7" x14ac:dyDescent="0.15">
      <c r="A644" s="27" t="s">
        <v>8648</v>
      </c>
      <c r="B644" s="19" t="s">
        <v>7925</v>
      </c>
      <c r="C644" s="22"/>
      <c r="D644" s="19" t="str">
        <f t="shared" si="27"/>
        <v>https://kokusho.nijl.ac.jp/biblio/100314627/98</v>
      </c>
      <c r="E644" s="22"/>
      <c r="F644" s="22"/>
      <c r="G644" s="22"/>
    </row>
    <row r="645" spans="1:7" x14ac:dyDescent="0.15">
      <c r="A645" s="27" t="s">
        <v>8648</v>
      </c>
      <c r="B645" s="19" t="s">
        <v>8544</v>
      </c>
      <c r="C645" s="22"/>
      <c r="D645" s="19" t="str">
        <f t="shared" si="27"/>
        <v>https://kokusho.nijl.ac.jp/biblio/100314627/98</v>
      </c>
      <c r="E645" s="22"/>
      <c r="F645" s="22"/>
      <c r="G645" s="22"/>
    </row>
    <row r="646" spans="1:7" x14ac:dyDescent="0.15">
      <c r="A646" s="27" t="s">
        <v>8648</v>
      </c>
      <c r="B646" s="19" t="s">
        <v>8863</v>
      </c>
      <c r="C646" s="22"/>
      <c r="D646" s="19" t="str">
        <f t="shared" si="27"/>
        <v>https://kokusho.nijl.ac.jp/biblio/100314627/98</v>
      </c>
      <c r="E646" s="22"/>
      <c r="F646" s="22"/>
      <c r="G646" s="22"/>
    </row>
    <row r="647" spans="1:7" x14ac:dyDescent="0.15">
      <c r="A647" s="27" t="s">
        <v>8648</v>
      </c>
      <c r="B647" s="19" t="s">
        <v>8864</v>
      </c>
      <c r="C647" s="22"/>
      <c r="D647" s="19" t="str">
        <f t="shared" si="27"/>
        <v>https://kokusho.nijl.ac.jp/biblio/100314627/98</v>
      </c>
      <c r="E647" s="22"/>
      <c r="F647" s="22"/>
      <c r="G647" s="22"/>
    </row>
    <row r="648" spans="1:7" x14ac:dyDescent="0.15">
      <c r="A648" s="27" t="s">
        <v>8648</v>
      </c>
      <c r="B648" s="19" t="s">
        <v>8865</v>
      </c>
      <c r="C648" s="22"/>
      <c r="D648" s="19" t="str">
        <f t="shared" si="27"/>
        <v>https://kokusho.nijl.ac.jp/biblio/100314627/98</v>
      </c>
      <c r="E648" s="22"/>
      <c r="F648" s="22"/>
      <c r="G648" s="22"/>
    </row>
    <row r="649" spans="1:7" x14ac:dyDescent="0.15">
      <c r="A649" s="27" t="s">
        <v>8648</v>
      </c>
      <c r="B649" s="20" t="s">
        <v>8866</v>
      </c>
      <c r="C649" s="22"/>
      <c r="D649" s="19" t="str">
        <f t="shared" si="27"/>
        <v>https://kokusho.nijl.ac.jp/biblio/100314627/98</v>
      </c>
      <c r="E649" s="22"/>
      <c r="F649" s="22"/>
      <c r="G649" s="22"/>
    </row>
    <row r="650" spans="1:7" x14ac:dyDescent="0.15">
      <c r="A650" s="27" t="s">
        <v>8648</v>
      </c>
      <c r="B650" s="19" t="s">
        <v>7938</v>
      </c>
      <c r="C650" s="22"/>
      <c r="D650" s="19" t="str">
        <f t="shared" si="27"/>
        <v>https://kokusho.nijl.ac.jp/biblio/100314627/98</v>
      </c>
      <c r="E650" s="22"/>
      <c r="F650" s="22"/>
      <c r="G650" s="22"/>
    </row>
    <row r="651" spans="1:7" ht="18.75" x14ac:dyDescent="0.15">
      <c r="A651" s="27" t="s">
        <v>8648</v>
      </c>
      <c r="B651" s="19" t="s">
        <v>8867</v>
      </c>
      <c r="C651" s="22"/>
      <c r="D651" s="19" t="str">
        <f t="shared" si="27"/>
        <v>https://kokusho.nijl.ac.jp/biblio/100314627/98</v>
      </c>
      <c r="E651" s="22"/>
      <c r="F651" s="22"/>
      <c r="G651" s="22"/>
    </row>
    <row r="652" spans="1:7" x14ac:dyDescent="0.15">
      <c r="A652" s="27" t="s">
        <v>8648</v>
      </c>
      <c r="B652" s="19" t="s">
        <v>8868</v>
      </c>
      <c r="C652" s="22"/>
      <c r="D652" s="19" t="str">
        <f t="shared" ref="D652:D663" si="28">HYPERLINK("https://kokusho.nijl.ac.jp/biblio/100314627/99")</f>
        <v>https://kokusho.nijl.ac.jp/biblio/100314627/99</v>
      </c>
      <c r="E652" s="22"/>
      <c r="F652" s="22"/>
      <c r="G652" s="22"/>
    </row>
    <row r="653" spans="1:7" x14ac:dyDescent="0.15">
      <c r="A653" s="27" t="s">
        <v>8648</v>
      </c>
      <c r="B653" s="19" t="s">
        <v>8869</v>
      </c>
      <c r="C653" s="22"/>
      <c r="D653" s="19" t="str">
        <f t="shared" si="28"/>
        <v>https://kokusho.nijl.ac.jp/biblio/100314627/99</v>
      </c>
      <c r="E653" s="22"/>
      <c r="F653" s="22"/>
      <c r="G653" s="22"/>
    </row>
    <row r="654" spans="1:7" x14ac:dyDescent="0.15">
      <c r="A654" s="27" t="s">
        <v>8648</v>
      </c>
      <c r="B654" s="19" t="s">
        <v>8870</v>
      </c>
      <c r="C654" s="22"/>
      <c r="D654" s="19" t="str">
        <f t="shared" si="28"/>
        <v>https://kokusho.nijl.ac.jp/biblio/100314627/99</v>
      </c>
      <c r="E654" s="22"/>
      <c r="F654" s="22"/>
      <c r="G654" s="22"/>
    </row>
    <row r="655" spans="1:7" x14ac:dyDescent="0.15">
      <c r="A655" s="27" t="s">
        <v>8648</v>
      </c>
      <c r="B655" s="19" t="s">
        <v>8871</v>
      </c>
      <c r="C655" s="22"/>
      <c r="D655" s="19" t="str">
        <f t="shared" si="28"/>
        <v>https://kokusho.nijl.ac.jp/biblio/100314627/99</v>
      </c>
      <c r="E655" s="22"/>
      <c r="F655" s="22"/>
      <c r="G655" s="22"/>
    </row>
    <row r="656" spans="1:7" x14ac:dyDescent="0.15">
      <c r="A656" s="27" t="s">
        <v>8648</v>
      </c>
      <c r="B656" s="19" t="s">
        <v>8872</v>
      </c>
      <c r="C656" s="22"/>
      <c r="D656" s="19" t="str">
        <f t="shared" si="28"/>
        <v>https://kokusho.nijl.ac.jp/biblio/100314627/99</v>
      </c>
      <c r="E656" s="22"/>
      <c r="F656" s="22"/>
      <c r="G656" s="22"/>
    </row>
    <row r="657" spans="1:7" x14ac:dyDescent="0.15">
      <c r="A657" s="27" t="s">
        <v>8648</v>
      </c>
      <c r="B657" s="19" t="s">
        <v>8873</v>
      </c>
      <c r="C657" s="22"/>
      <c r="D657" s="19" t="str">
        <f t="shared" si="28"/>
        <v>https://kokusho.nijl.ac.jp/biblio/100314627/99</v>
      </c>
      <c r="E657" s="22"/>
      <c r="F657" s="22"/>
      <c r="G657" s="22"/>
    </row>
    <row r="658" spans="1:7" x14ac:dyDescent="0.15">
      <c r="A658" s="27" t="s">
        <v>8648</v>
      </c>
      <c r="B658" s="19" t="s">
        <v>8874</v>
      </c>
      <c r="C658" s="22"/>
      <c r="D658" s="19" t="str">
        <f t="shared" si="28"/>
        <v>https://kokusho.nijl.ac.jp/biblio/100314627/99</v>
      </c>
      <c r="E658" s="22"/>
      <c r="F658" s="22"/>
      <c r="G658" s="22"/>
    </row>
    <row r="659" spans="1:7" x14ac:dyDescent="0.15">
      <c r="A659" s="27" t="s">
        <v>8648</v>
      </c>
      <c r="B659" s="19" t="s">
        <v>7934</v>
      </c>
      <c r="C659" s="22"/>
      <c r="D659" s="19" t="str">
        <f t="shared" si="28"/>
        <v>https://kokusho.nijl.ac.jp/biblio/100314627/99</v>
      </c>
      <c r="E659" s="22"/>
      <c r="F659" s="22"/>
      <c r="G659" s="22"/>
    </row>
    <row r="660" spans="1:7" x14ac:dyDescent="0.15">
      <c r="A660" s="27" t="s">
        <v>8648</v>
      </c>
      <c r="B660" s="19" t="s">
        <v>8875</v>
      </c>
      <c r="C660" s="22"/>
      <c r="D660" s="19" t="str">
        <f t="shared" si="28"/>
        <v>https://kokusho.nijl.ac.jp/biblio/100314627/99</v>
      </c>
      <c r="E660" s="22"/>
      <c r="F660" s="22"/>
      <c r="G660" s="22"/>
    </row>
    <row r="661" spans="1:7" x14ac:dyDescent="0.15">
      <c r="A661" s="27" t="s">
        <v>8648</v>
      </c>
      <c r="B661" s="19" t="s">
        <v>8593</v>
      </c>
      <c r="C661" s="22"/>
      <c r="D661" s="19" t="str">
        <f t="shared" si="28"/>
        <v>https://kokusho.nijl.ac.jp/biblio/100314627/99</v>
      </c>
      <c r="E661" s="22"/>
      <c r="F661" s="22"/>
      <c r="G661" s="22"/>
    </row>
    <row r="662" spans="1:7" x14ac:dyDescent="0.15">
      <c r="A662" s="27" t="s">
        <v>8648</v>
      </c>
      <c r="B662" s="19" t="s">
        <v>7950</v>
      </c>
      <c r="C662" s="22"/>
      <c r="D662" s="19" t="str">
        <f t="shared" si="28"/>
        <v>https://kokusho.nijl.ac.jp/biblio/100314627/99</v>
      </c>
      <c r="E662" s="22"/>
      <c r="F662" s="22"/>
      <c r="G662" s="22"/>
    </row>
    <row r="663" spans="1:7" x14ac:dyDescent="0.15">
      <c r="A663" s="27" t="s">
        <v>8648</v>
      </c>
      <c r="B663" s="19" t="s">
        <v>6119</v>
      </c>
      <c r="C663" s="22"/>
      <c r="D663" s="19" t="str">
        <f t="shared" si="28"/>
        <v>https://kokusho.nijl.ac.jp/biblio/100314627/99</v>
      </c>
      <c r="E663" s="22"/>
      <c r="F663" s="22"/>
      <c r="G663" s="22"/>
    </row>
    <row r="664" spans="1:7" x14ac:dyDescent="0.15">
      <c r="A664" s="27" t="s">
        <v>8648</v>
      </c>
      <c r="B664" s="19" t="s">
        <v>8876</v>
      </c>
      <c r="C664" s="22"/>
      <c r="D664" s="19" t="str">
        <f t="shared" ref="D664:D673" si="29">HYPERLINK("https://kokusho.nijl.ac.jp/biblio/100314627/100")</f>
        <v>https://kokusho.nijl.ac.jp/biblio/100314627/100</v>
      </c>
      <c r="E664" s="22"/>
      <c r="F664" s="22"/>
      <c r="G664" s="22"/>
    </row>
    <row r="665" spans="1:7" x14ac:dyDescent="0.15">
      <c r="A665" s="27" t="s">
        <v>8648</v>
      </c>
      <c r="B665" s="20" t="s">
        <v>8877</v>
      </c>
      <c r="C665" s="22"/>
      <c r="D665" s="19" t="str">
        <f t="shared" si="29"/>
        <v>https://kokusho.nijl.ac.jp/biblio/100314627/100</v>
      </c>
      <c r="E665" s="22"/>
      <c r="F665" s="22"/>
      <c r="G665" s="22"/>
    </row>
    <row r="666" spans="1:7" x14ac:dyDescent="0.15">
      <c r="A666" s="27" t="s">
        <v>8648</v>
      </c>
      <c r="B666" s="19" t="s">
        <v>8030</v>
      </c>
      <c r="C666" s="22"/>
      <c r="D666" s="19" t="str">
        <f t="shared" si="29"/>
        <v>https://kokusho.nijl.ac.jp/biblio/100314627/100</v>
      </c>
      <c r="E666" s="22"/>
      <c r="F666" s="22"/>
      <c r="G666" s="22"/>
    </row>
    <row r="667" spans="1:7" x14ac:dyDescent="0.15">
      <c r="A667" s="27" t="s">
        <v>8648</v>
      </c>
      <c r="B667" s="19" t="s">
        <v>8878</v>
      </c>
      <c r="C667" s="22"/>
      <c r="D667" s="19" t="str">
        <f t="shared" si="29"/>
        <v>https://kokusho.nijl.ac.jp/biblio/100314627/100</v>
      </c>
      <c r="E667" s="22"/>
      <c r="F667" s="22"/>
      <c r="G667" s="22"/>
    </row>
    <row r="668" spans="1:7" x14ac:dyDescent="0.15">
      <c r="A668" s="27" t="s">
        <v>8648</v>
      </c>
      <c r="B668" s="19" t="s">
        <v>8879</v>
      </c>
      <c r="C668" s="22"/>
      <c r="D668" s="19" t="str">
        <f t="shared" si="29"/>
        <v>https://kokusho.nijl.ac.jp/biblio/100314627/100</v>
      </c>
      <c r="E668" s="22"/>
      <c r="F668" s="22"/>
      <c r="G668" s="22"/>
    </row>
    <row r="669" spans="1:7" x14ac:dyDescent="0.15">
      <c r="A669" s="27" t="s">
        <v>8648</v>
      </c>
      <c r="B669" s="19" t="s">
        <v>8880</v>
      </c>
      <c r="C669" s="22"/>
      <c r="D669" s="19" t="str">
        <f t="shared" si="29"/>
        <v>https://kokusho.nijl.ac.jp/biblio/100314627/100</v>
      </c>
      <c r="E669" s="22"/>
      <c r="F669" s="22"/>
      <c r="G669" s="22"/>
    </row>
    <row r="670" spans="1:7" x14ac:dyDescent="0.15">
      <c r="A670" s="27" t="s">
        <v>8648</v>
      </c>
      <c r="B670" s="19" t="s">
        <v>8881</v>
      </c>
      <c r="C670" s="22"/>
      <c r="D670" s="19" t="str">
        <f t="shared" si="29"/>
        <v>https://kokusho.nijl.ac.jp/biblio/100314627/100</v>
      </c>
      <c r="E670" s="22"/>
      <c r="F670" s="22"/>
      <c r="G670" s="22"/>
    </row>
    <row r="671" spans="1:7" x14ac:dyDescent="0.15">
      <c r="A671" s="27" t="s">
        <v>8648</v>
      </c>
      <c r="B671" s="19" t="s">
        <v>7967</v>
      </c>
      <c r="C671" s="22"/>
      <c r="D671" s="19" t="str">
        <f t="shared" si="29"/>
        <v>https://kokusho.nijl.ac.jp/biblio/100314627/100</v>
      </c>
      <c r="E671" s="22"/>
      <c r="F671" s="22"/>
      <c r="G671" s="22"/>
    </row>
    <row r="672" spans="1:7" x14ac:dyDescent="0.15">
      <c r="A672" s="27" t="s">
        <v>8648</v>
      </c>
      <c r="B672" s="19" t="s">
        <v>8882</v>
      </c>
      <c r="C672" s="22"/>
      <c r="D672" s="19" t="str">
        <f t="shared" si="29"/>
        <v>https://kokusho.nijl.ac.jp/biblio/100314627/100</v>
      </c>
      <c r="E672" s="22"/>
      <c r="F672" s="22"/>
      <c r="G672" s="22"/>
    </row>
    <row r="673" spans="1:7" x14ac:dyDescent="0.15">
      <c r="A673" s="27" t="s">
        <v>8648</v>
      </c>
      <c r="B673" s="19" t="s">
        <v>8883</v>
      </c>
      <c r="C673" s="22"/>
      <c r="D673" s="19" t="str">
        <f t="shared" si="29"/>
        <v>https://kokusho.nijl.ac.jp/biblio/100314627/100</v>
      </c>
      <c r="E673" s="22"/>
      <c r="F673" s="22"/>
      <c r="G673" s="22"/>
    </row>
    <row r="674" spans="1:7" x14ac:dyDescent="0.15">
      <c r="A674" s="27" t="s">
        <v>8648</v>
      </c>
      <c r="B674" s="19" t="s">
        <v>8884</v>
      </c>
      <c r="C674" s="22"/>
      <c r="D674" s="19" t="str">
        <f t="shared" ref="D674:D686" si="30">HYPERLINK("https://kokusho.nijl.ac.jp/biblio/100314627/101")</f>
        <v>https://kokusho.nijl.ac.jp/biblio/100314627/101</v>
      </c>
      <c r="E674" s="22"/>
      <c r="F674" s="22"/>
      <c r="G674" s="22"/>
    </row>
    <row r="675" spans="1:7" x14ac:dyDescent="0.15">
      <c r="A675" s="27" t="s">
        <v>8648</v>
      </c>
      <c r="B675" s="19" t="s">
        <v>8885</v>
      </c>
      <c r="C675" s="22"/>
      <c r="D675" s="19" t="str">
        <f t="shared" si="30"/>
        <v>https://kokusho.nijl.ac.jp/biblio/100314627/101</v>
      </c>
      <c r="E675" s="22"/>
      <c r="F675" s="22"/>
      <c r="G675" s="22"/>
    </row>
    <row r="676" spans="1:7" x14ac:dyDescent="0.15">
      <c r="A676" s="27" t="s">
        <v>8648</v>
      </c>
      <c r="B676" s="19" t="s">
        <v>8886</v>
      </c>
      <c r="C676" s="22"/>
      <c r="D676" s="19" t="str">
        <f t="shared" si="30"/>
        <v>https://kokusho.nijl.ac.jp/biblio/100314627/101</v>
      </c>
      <c r="E676" s="22"/>
      <c r="F676" s="22"/>
      <c r="G676" s="22"/>
    </row>
    <row r="677" spans="1:7" x14ac:dyDescent="0.15">
      <c r="A677" s="27" t="s">
        <v>8648</v>
      </c>
      <c r="B677" s="19" t="s">
        <v>8887</v>
      </c>
      <c r="C677" s="22"/>
      <c r="D677" s="19" t="str">
        <f t="shared" si="30"/>
        <v>https://kokusho.nijl.ac.jp/biblio/100314627/101</v>
      </c>
      <c r="E677" s="22"/>
      <c r="F677" s="22"/>
      <c r="G677" s="22"/>
    </row>
    <row r="678" spans="1:7" x14ac:dyDescent="0.15">
      <c r="A678" s="27" t="s">
        <v>8648</v>
      </c>
      <c r="B678" s="19" t="s">
        <v>8888</v>
      </c>
      <c r="C678" s="22"/>
      <c r="D678" s="19" t="str">
        <f t="shared" si="30"/>
        <v>https://kokusho.nijl.ac.jp/biblio/100314627/101</v>
      </c>
      <c r="E678" s="22"/>
      <c r="F678" s="22"/>
      <c r="G678" s="22"/>
    </row>
    <row r="679" spans="1:7" x14ac:dyDescent="0.15">
      <c r="A679" s="27" t="s">
        <v>8648</v>
      </c>
      <c r="B679" s="19" t="s">
        <v>5786</v>
      </c>
      <c r="C679" s="22"/>
      <c r="D679" s="19" t="str">
        <f t="shared" si="30"/>
        <v>https://kokusho.nijl.ac.jp/biblio/100314627/101</v>
      </c>
      <c r="E679" s="22"/>
      <c r="F679" s="22"/>
      <c r="G679" s="22"/>
    </row>
    <row r="680" spans="1:7" x14ac:dyDescent="0.15">
      <c r="A680" s="27" t="s">
        <v>8648</v>
      </c>
      <c r="B680" s="19" t="s">
        <v>8889</v>
      </c>
      <c r="C680" s="22"/>
      <c r="D680" s="19" t="str">
        <f t="shared" si="30"/>
        <v>https://kokusho.nijl.ac.jp/biblio/100314627/101</v>
      </c>
      <c r="E680" s="22"/>
      <c r="F680" s="22"/>
      <c r="G680" s="22"/>
    </row>
    <row r="681" spans="1:7" x14ac:dyDescent="0.15">
      <c r="A681" s="27" t="s">
        <v>8648</v>
      </c>
      <c r="B681" s="19" t="s">
        <v>8890</v>
      </c>
      <c r="C681" s="22"/>
      <c r="D681" s="19" t="str">
        <f t="shared" si="30"/>
        <v>https://kokusho.nijl.ac.jp/biblio/100314627/101</v>
      </c>
      <c r="E681" s="22"/>
      <c r="F681" s="22"/>
      <c r="G681" s="22"/>
    </row>
    <row r="682" spans="1:7" x14ac:dyDescent="0.15">
      <c r="A682" s="27" t="s">
        <v>8648</v>
      </c>
      <c r="B682" s="19" t="s">
        <v>8891</v>
      </c>
      <c r="C682" s="22"/>
      <c r="D682" s="19" t="str">
        <f t="shared" si="30"/>
        <v>https://kokusho.nijl.ac.jp/biblio/100314627/101</v>
      </c>
      <c r="E682" s="22"/>
      <c r="F682" s="22"/>
      <c r="G682" s="22"/>
    </row>
    <row r="683" spans="1:7" x14ac:dyDescent="0.15">
      <c r="A683" s="27" t="s">
        <v>8648</v>
      </c>
      <c r="B683" s="19" t="s">
        <v>8018</v>
      </c>
      <c r="C683" s="22"/>
      <c r="D683" s="19" t="str">
        <f t="shared" si="30"/>
        <v>https://kokusho.nijl.ac.jp/biblio/100314627/101</v>
      </c>
      <c r="E683" s="22"/>
      <c r="F683" s="22"/>
      <c r="G683" s="22"/>
    </row>
    <row r="684" spans="1:7" x14ac:dyDescent="0.15">
      <c r="A684" s="27" t="s">
        <v>8648</v>
      </c>
      <c r="B684" s="19" t="s">
        <v>8892</v>
      </c>
      <c r="C684" s="22"/>
      <c r="D684" s="19" t="str">
        <f t="shared" si="30"/>
        <v>https://kokusho.nijl.ac.jp/biblio/100314627/101</v>
      </c>
      <c r="E684" s="22"/>
      <c r="F684" s="22"/>
      <c r="G684" s="22"/>
    </row>
    <row r="685" spans="1:7" x14ac:dyDescent="0.15">
      <c r="A685" s="27" t="s">
        <v>8648</v>
      </c>
      <c r="B685" s="19" t="s">
        <v>8893</v>
      </c>
      <c r="C685" s="22"/>
      <c r="D685" s="19" t="str">
        <f t="shared" si="30"/>
        <v>https://kokusho.nijl.ac.jp/biblio/100314627/101</v>
      </c>
      <c r="E685" s="22"/>
      <c r="F685" s="22"/>
      <c r="G685" s="22"/>
    </row>
    <row r="686" spans="1:7" x14ac:dyDescent="0.15">
      <c r="A686" s="27" t="s">
        <v>8648</v>
      </c>
      <c r="B686" s="19" t="s">
        <v>8023</v>
      </c>
      <c r="C686" s="22"/>
      <c r="D686" s="19" t="str">
        <f t="shared" si="30"/>
        <v>https://kokusho.nijl.ac.jp/biblio/100314627/101</v>
      </c>
      <c r="E686" s="22"/>
      <c r="F686" s="22"/>
      <c r="G686" s="22"/>
    </row>
    <row r="687" spans="1:7" x14ac:dyDescent="0.15">
      <c r="A687" s="27" t="s">
        <v>8648</v>
      </c>
      <c r="B687" s="19" t="s">
        <v>8031</v>
      </c>
      <c r="C687" s="22"/>
      <c r="D687" s="19" t="str">
        <f t="shared" ref="D687:D696" si="31">HYPERLINK("https://kokusho.nijl.ac.jp/biblio/100314627/102")</f>
        <v>https://kokusho.nijl.ac.jp/biblio/100314627/102</v>
      </c>
      <c r="E687" s="22"/>
      <c r="F687" s="22"/>
      <c r="G687" s="22"/>
    </row>
    <row r="688" spans="1:7" x14ac:dyDescent="0.15">
      <c r="A688" s="27" t="s">
        <v>8648</v>
      </c>
      <c r="B688" s="19" t="s">
        <v>8894</v>
      </c>
      <c r="C688" s="22"/>
      <c r="D688" s="19" t="str">
        <f t="shared" si="31"/>
        <v>https://kokusho.nijl.ac.jp/biblio/100314627/102</v>
      </c>
      <c r="E688" s="22"/>
      <c r="F688" s="22"/>
      <c r="G688" s="22"/>
    </row>
    <row r="689" spans="1:7" x14ac:dyDescent="0.15">
      <c r="A689" s="27" t="s">
        <v>8648</v>
      </c>
      <c r="B689" s="19" t="s">
        <v>7999</v>
      </c>
      <c r="C689" s="22"/>
      <c r="D689" s="19" t="str">
        <f t="shared" si="31"/>
        <v>https://kokusho.nijl.ac.jp/biblio/100314627/102</v>
      </c>
      <c r="E689" s="22"/>
      <c r="F689" s="22"/>
      <c r="G689" s="22"/>
    </row>
    <row r="690" spans="1:7" x14ac:dyDescent="0.15">
      <c r="A690" s="27" t="s">
        <v>8648</v>
      </c>
      <c r="B690" s="19" t="s">
        <v>8895</v>
      </c>
      <c r="C690" s="22"/>
      <c r="D690" s="19" t="str">
        <f t="shared" si="31"/>
        <v>https://kokusho.nijl.ac.jp/biblio/100314627/102</v>
      </c>
      <c r="E690" s="22"/>
      <c r="F690" s="22"/>
      <c r="G690" s="22"/>
    </row>
    <row r="691" spans="1:7" x14ac:dyDescent="0.15">
      <c r="A691" s="27" t="s">
        <v>8648</v>
      </c>
      <c r="B691" s="19" t="s">
        <v>5794</v>
      </c>
      <c r="C691" s="22"/>
      <c r="D691" s="19" t="str">
        <f t="shared" si="31"/>
        <v>https://kokusho.nijl.ac.jp/biblio/100314627/102</v>
      </c>
      <c r="E691" s="22"/>
      <c r="F691" s="22"/>
      <c r="G691" s="22"/>
    </row>
    <row r="692" spans="1:7" x14ac:dyDescent="0.15">
      <c r="A692" s="27" t="s">
        <v>8648</v>
      </c>
      <c r="B692" s="19" t="s">
        <v>7974</v>
      </c>
      <c r="C692" s="22"/>
      <c r="D692" s="19" t="str">
        <f t="shared" si="31"/>
        <v>https://kokusho.nijl.ac.jp/biblio/100314627/102</v>
      </c>
      <c r="E692" s="22"/>
      <c r="F692" s="22"/>
      <c r="G692" s="22"/>
    </row>
    <row r="693" spans="1:7" x14ac:dyDescent="0.15">
      <c r="A693" s="27" t="s">
        <v>8648</v>
      </c>
      <c r="B693" s="20" t="s">
        <v>8896</v>
      </c>
      <c r="C693" s="22"/>
      <c r="D693" s="19" t="str">
        <f t="shared" si="31"/>
        <v>https://kokusho.nijl.ac.jp/biblio/100314627/102</v>
      </c>
      <c r="E693" s="22"/>
      <c r="F693" s="22"/>
      <c r="G693" s="22"/>
    </row>
    <row r="694" spans="1:7" x14ac:dyDescent="0.15">
      <c r="A694" s="27" t="s">
        <v>8648</v>
      </c>
      <c r="B694" s="19" t="s">
        <v>8897</v>
      </c>
      <c r="C694" s="22"/>
      <c r="D694" s="19" t="str">
        <f t="shared" si="31"/>
        <v>https://kokusho.nijl.ac.jp/biblio/100314627/102</v>
      </c>
      <c r="E694" s="22"/>
      <c r="F694" s="22"/>
      <c r="G694" s="22"/>
    </row>
    <row r="695" spans="1:7" x14ac:dyDescent="0.15">
      <c r="A695" s="27" t="s">
        <v>8648</v>
      </c>
      <c r="B695" s="19" t="s">
        <v>8898</v>
      </c>
      <c r="C695" s="22"/>
      <c r="D695" s="19" t="str">
        <f t="shared" si="31"/>
        <v>https://kokusho.nijl.ac.jp/biblio/100314627/102</v>
      </c>
      <c r="E695" s="22"/>
      <c r="F695" s="22"/>
      <c r="G695" s="22"/>
    </row>
    <row r="696" spans="1:7" x14ac:dyDescent="0.15">
      <c r="A696" s="27" t="s">
        <v>8648</v>
      </c>
      <c r="B696" s="19" t="s">
        <v>8899</v>
      </c>
      <c r="C696" s="22"/>
      <c r="D696" s="19" t="str">
        <f t="shared" si="31"/>
        <v>https://kokusho.nijl.ac.jp/biblio/100314627/102</v>
      </c>
      <c r="E696" s="22"/>
      <c r="F696" s="22"/>
      <c r="G696" s="22"/>
    </row>
    <row r="697" spans="1:7" x14ac:dyDescent="0.15">
      <c r="A697" s="27" t="s">
        <v>8648</v>
      </c>
      <c r="B697" s="19" t="s">
        <v>8900</v>
      </c>
      <c r="C697" s="22"/>
      <c r="D697" s="19" t="str">
        <f t="shared" ref="D697:D707" si="32">HYPERLINK("https://kokusho.nijl.ac.jp/biblio/100314627/103")</f>
        <v>https://kokusho.nijl.ac.jp/biblio/100314627/103</v>
      </c>
      <c r="E697" s="22"/>
      <c r="F697" s="22"/>
      <c r="G697" s="22"/>
    </row>
    <row r="698" spans="1:7" x14ac:dyDescent="0.15">
      <c r="A698" s="27" t="s">
        <v>8648</v>
      </c>
      <c r="B698" s="19" t="s">
        <v>8268</v>
      </c>
      <c r="C698" s="22"/>
      <c r="D698" s="19" t="str">
        <f t="shared" si="32"/>
        <v>https://kokusho.nijl.ac.jp/biblio/100314627/103</v>
      </c>
      <c r="E698" s="22"/>
      <c r="F698" s="22"/>
      <c r="G698" s="22"/>
    </row>
    <row r="699" spans="1:7" x14ac:dyDescent="0.15">
      <c r="A699" s="27" t="s">
        <v>8648</v>
      </c>
      <c r="B699" s="19" t="s">
        <v>8901</v>
      </c>
      <c r="C699" s="22"/>
      <c r="D699" s="19" t="str">
        <f t="shared" si="32"/>
        <v>https://kokusho.nijl.ac.jp/biblio/100314627/103</v>
      </c>
      <c r="E699" s="22"/>
      <c r="F699" s="22"/>
      <c r="G699" s="22"/>
    </row>
    <row r="700" spans="1:7" x14ac:dyDescent="0.15">
      <c r="A700" s="27" t="s">
        <v>8648</v>
      </c>
      <c r="B700" s="19" t="s">
        <v>8251</v>
      </c>
      <c r="C700" s="22"/>
      <c r="D700" s="19" t="str">
        <f t="shared" si="32"/>
        <v>https://kokusho.nijl.ac.jp/biblio/100314627/103</v>
      </c>
      <c r="E700" s="22"/>
      <c r="F700" s="22"/>
      <c r="G700" s="22"/>
    </row>
    <row r="701" spans="1:7" x14ac:dyDescent="0.15">
      <c r="A701" s="27" t="s">
        <v>8648</v>
      </c>
      <c r="B701" s="19" t="s">
        <v>8902</v>
      </c>
      <c r="C701" s="22"/>
      <c r="D701" s="19" t="str">
        <f t="shared" si="32"/>
        <v>https://kokusho.nijl.ac.jp/biblio/100314627/103</v>
      </c>
      <c r="E701" s="22"/>
      <c r="F701" s="22"/>
      <c r="G701" s="22"/>
    </row>
    <row r="702" spans="1:7" x14ac:dyDescent="0.15">
      <c r="A702" s="27" t="s">
        <v>8648</v>
      </c>
      <c r="B702" s="19" t="s">
        <v>8903</v>
      </c>
      <c r="C702" s="22"/>
      <c r="D702" s="19" t="str">
        <f t="shared" si="32"/>
        <v>https://kokusho.nijl.ac.jp/biblio/100314627/103</v>
      </c>
      <c r="E702" s="22"/>
      <c r="F702" s="22"/>
      <c r="G702" s="22"/>
    </row>
    <row r="703" spans="1:7" x14ac:dyDescent="0.15">
      <c r="A703" s="27" t="s">
        <v>8648</v>
      </c>
      <c r="B703" s="19" t="s">
        <v>8904</v>
      </c>
      <c r="C703" s="22"/>
      <c r="D703" s="19" t="str">
        <f t="shared" si="32"/>
        <v>https://kokusho.nijl.ac.jp/biblio/100314627/103</v>
      </c>
      <c r="E703" s="22"/>
      <c r="F703" s="22"/>
      <c r="G703" s="22"/>
    </row>
    <row r="704" spans="1:7" x14ac:dyDescent="0.15">
      <c r="A704" s="27" t="s">
        <v>8648</v>
      </c>
      <c r="B704" s="19" t="s">
        <v>8905</v>
      </c>
      <c r="C704" s="22"/>
      <c r="D704" s="19" t="str">
        <f t="shared" si="32"/>
        <v>https://kokusho.nijl.ac.jp/biblio/100314627/103</v>
      </c>
      <c r="E704" s="22"/>
      <c r="F704" s="22"/>
      <c r="G704" s="22"/>
    </row>
    <row r="705" spans="1:7" x14ac:dyDescent="0.15">
      <c r="A705" s="27" t="s">
        <v>8648</v>
      </c>
      <c r="B705" s="19" t="s">
        <v>8906</v>
      </c>
      <c r="C705" s="22"/>
      <c r="D705" s="19" t="str">
        <f t="shared" si="32"/>
        <v>https://kokusho.nijl.ac.jp/biblio/100314627/103</v>
      </c>
      <c r="E705" s="22"/>
      <c r="F705" s="22"/>
      <c r="G705" s="22"/>
    </row>
    <row r="706" spans="1:7" x14ac:dyDescent="0.15">
      <c r="A706" s="27" t="s">
        <v>8648</v>
      </c>
      <c r="B706" s="19" t="s">
        <v>8111</v>
      </c>
      <c r="C706" s="22"/>
      <c r="D706" s="19" t="str">
        <f t="shared" si="32"/>
        <v>https://kokusho.nijl.ac.jp/biblio/100314627/103</v>
      </c>
      <c r="E706" s="22"/>
      <c r="F706" s="22"/>
      <c r="G706" s="22"/>
    </row>
    <row r="707" spans="1:7" x14ac:dyDescent="0.15">
      <c r="A707" s="27" t="s">
        <v>8648</v>
      </c>
      <c r="B707" s="19" t="s">
        <v>8252</v>
      </c>
      <c r="C707" s="22"/>
      <c r="D707" s="19" t="str">
        <f t="shared" si="32"/>
        <v>https://kokusho.nijl.ac.jp/biblio/100314627/103</v>
      </c>
      <c r="E707" s="22"/>
      <c r="F707" s="22"/>
      <c r="G707" s="22"/>
    </row>
    <row r="708" spans="1:7" x14ac:dyDescent="0.15">
      <c r="A708" s="27" t="s">
        <v>8648</v>
      </c>
      <c r="B708" s="19" t="s">
        <v>6012</v>
      </c>
      <c r="C708" s="22"/>
      <c r="D708" s="19" t="str">
        <f t="shared" ref="D708:D717" si="33">HYPERLINK("https://kokusho.nijl.ac.jp/biblio/100314627/104")</f>
        <v>https://kokusho.nijl.ac.jp/biblio/100314627/104</v>
      </c>
      <c r="E708" s="22"/>
      <c r="F708" s="22"/>
      <c r="G708" s="22"/>
    </row>
    <row r="709" spans="1:7" x14ac:dyDescent="0.15">
      <c r="A709" s="27" t="s">
        <v>8648</v>
      </c>
      <c r="B709" s="19" t="s">
        <v>8213</v>
      </c>
      <c r="C709" s="22"/>
      <c r="D709" s="19" t="str">
        <f t="shared" si="33"/>
        <v>https://kokusho.nijl.ac.jp/biblio/100314627/104</v>
      </c>
      <c r="E709" s="22"/>
      <c r="F709" s="22"/>
      <c r="G709" s="22"/>
    </row>
    <row r="710" spans="1:7" x14ac:dyDescent="0.15">
      <c r="A710" s="27" t="s">
        <v>8648</v>
      </c>
      <c r="B710" s="19" t="s">
        <v>8907</v>
      </c>
      <c r="C710" s="22"/>
      <c r="D710" s="19" t="str">
        <f t="shared" si="33"/>
        <v>https://kokusho.nijl.ac.jp/biblio/100314627/104</v>
      </c>
      <c r="E710" s="22"/>
      <c r="F710" s="22"/>
      <c r="G710" s="22"/>
    </row>
    <row r="711" spans="1:7" x14ac:dyDescent="0.15">
      <c r="A711" s="27" t="s">
        <v>8648</v>
      </c>
      <c r="B711" s="19" t="s">
        <v>8908</v>
      </c>
      <c r="C711" s="22"/>
      <c r="D711" s="19" t="str">
        <f t="shared" si="33"/>
        <v>https://kokusho.nijl.ac.jp/biblio/100314627/104</v>
      </c>
      <c r="E711" s="22"/>
      <c r="F711" s="22"/>
      <c r="G711" s="22"/>
    </row>
    <row r="712" spans="1:7" x14ac:dyDescent="0.15">
      <c r="A712" s="27" t="s">
        <v>8648</v>
      </c>
      <c r="B712" s="19" t="s">
        <v>8909</v>
      </c>
      <c r="C712" s="22"/>
      <c r="D712" s="19" t="str">
        <f t="shared" si="33"/>
        <v>https://kokusho.nijl.ac.jp/biblio/100314627/104</v>
      </c>
      <c r="E712" s="22"/>
      <c r="F712" s="22"/>
      <c r="G712" s="22"/>
    </row>
    <row r="713" spans="1:7" x14ac:dyDescent="0.15">
      <c r="A713" s="27" t="s">
        <v>8648</v>
      </c>
      <c r="B713" s="19" t="s">
        <v>8910</v>
      </c>
      <c r="C713" s="22"/>
      <c r="D713" s="19" t="str">
        <f t="shared" si="33"/>
        <v>https://kokusho.nijl.ac.jp/biblio/100314627/104</v>
      </c>
      <c r="E713" s="22"/>
      <c r="F713" s="22"/>
      <c r="G713" s="22"/>
    </row>
    <row r="714" spans="1:7" x14ac:dyDescent="0.15">
      <c r="A714" s="27" t="s">
        <v>8648</v>
      </c>
      <c r="B714" s="19" t="s">
        <v>8911</v>
      </c>
      <c r="C714" s="22"/>
      <c r="D714" s="19" t="str">
        <f t="shared" si="33"/>
        <v>https://kokusho.nijl.ac.jp/biblio/100314627/104</v>
      </c>
      <c r="E714" s="22"/>
      <c r="F714" s="22"/>
      <c r="G714" s="22"/>
    </row>
    <row r="715" spans="1:7" x14ac:dyDescent="0.15">
      <c r="A715" s="27" t="s">
        <v>8648</v>
      </c>
      <c r="B715" s="19" t="s">
        <v>8912</v>
      </c>
      <c r="C715" s="22"/>
      <c r="D715" s="19" t="str">
        <f t="shared" si="33"/>
        <v>https://kokusho.nijl.ac.jp/biblio/100314627/104</v>
      </c>
      <c r="E715" s="22"/>
      <c r="F715" s="22"/>
      <c r="G715" s="22"/>
    </row>
    <row r="716" spans="1:7" x14ac:dyDescent="0.15">
      <c r="A716" s="27" t="s">
        <v>8648</v>
      </c>
      <c r="B716" s="19" t="s">
        <v>8913</v>
      </c>
      <c r="C716" s="22"/>
      <c r="D716" s="19" t="str">
        <f t="shared" si="33"/>
        <v>https://kokusho.nijl.ac.jp/biblio/100314627/104</v>
      </c>
      <c r="E716" s="22"/>
      <c r="F716" s="22"/>
      <c r="G716" s="22"/>
    </row>
    <row r="717" spans="1:7" x14ac:dyDescent="0.15">
      <c r="A717" s="27" t="s">
        <v>8648</v>
      </c>
      <c r="B717" s="19" t="s">
        <v>5997</v>
      </c>
      <c r="C717" s="22"/>
      <c r="D717" s="19" t="str">
        <f t="shared" si="33"/>
        <v>https://kokusho.nijl.ac.jp/biblio/100314627/104</v>
      </c>
      <c r="E717" s="22"/>
      <c r="F717" s="22"/>
      <c r="G717" s="22"/>
    </row>
    <row r="718" spans="1:7" x14ac:dyDescent="0.15">
      <c r="A718" s="27" t="s">
        <v>8648</v>
      </c>
      <c r="B718" s="19" t="s">
        <v>8914</v>
      </c>
      <c r="C718" s="22"/>
      <c r="D718" s="19" t="str">
        <f t="shared" ref="D718:D729" si="34">HYPERLINK("https://kokusho.nijl.ac.jp/biblio/100314627/105")</f>
        <v>https://kokusho.nijl.ac.jp/biblio/100314627/105</v>
      </c>
      <c r="E718" s="22"/>
      <c r="F718" s="22"/>
      <c r="G718" s="22"/>
    </row>
    <row r="719" spans="1:7" x14ac:dyDescent="0.15">
      <c r="A719" s="27" t="s">
        <v>8648</v>
      </c>
      <c r="B719" s="19" t="s">
        <v>8915</v>
      </c>
      <c r="C719" s="22"/>
      <c r="D719" s="19" t="str">
        <f t="shared" si="34"/>
        <v>https://kokusho.nijl.ac.jp/biblio/100314627/105</v>
      </c>
      <c r="E719" s="22"/>
      <c r="F719" s="22"/>
      <c r="G719" s="22"/>
    </row>
    <row r="720" spans="1:7" x14ac:dyDescent="0.15">
      <c r="A720" s="27" t="s">
        <v>8648</v>
      </c>
      <c r="B720" s="19" t="s">
        <v>8916</v>
      </c>
      <c r="C720" s="22"/>
      <c r="D720" s="19" t="str">
        <f t="shared" si="34"/>
        <v>https://kokusho.nijl.ac.jp/biblio/100314627/105</v>
      </c>
      <c r="E720" s="22"/>
      <c r="F720" s="22"/>
      <c r="G720" s="22"/>
    </row>
    <row r="721" spans="1:7" x14ac:dyDescent="0.15">
      <c r="A721" s="27" t="s">
        <v>8648</v>
      </c>
      <c r="B721" s="19" t="s">
        <v>8917</v>
      </c>
      <c r="C721" s="22"/>
      <c r="D721" s="19" t="str">
        <f t="shared" si="34"/>
        <v>https://kokusho.nijl.ac.jp/biblio/100314627/105</v>
      </c>
      <c r="E721" s="22"/>
      <c r="F721" s="22"/>
      <c r="G721" s="22"/>
    </row>
    <row r="722" spans="1:7" x14ac:dyDescent="0.15">
      <c r="A722" s="27" t="s">
        <v>8648</v>
      </c>
      <c r="B722" s="19" t="s">
        <v>8918</v>
      </c>
      <c r="C722" s="22"/>
      <c r="D722" s="19" t="str">
        <f t="shared" si="34"/>
        <v>https://kokusho.nijl.ac.jp/biblio/100314627/105</v>
      </c>
      <c r="E722" s="22"/>
      <c r="F722" s="22"/>
      <c r="G722" s="22"/>
    </row>
    <row r="723" spans="1:7" x14ac:dyDescent="0.15">
      <c r="A723" s="27" t="s">
        <v>8648</v>
      </c>
      <c r="B723" s="19" t="s">
        <v>8919</v>
      </c>
      <c r="C723" s="22"/>
      <c r="D723" s="19" t="str">
        <f t="shared" si="34"/>
        <v>https://kokusho.nijl.ac.jp/biblio/100314627/105</v>
      </c>
      <c r="E723" s="22"/>
      <c r="F723" s="22"/>
      <c r="G723" s="22"/>
    </row>
    <row r="724" spans="1:7" x14ac:dyDescent="0.15">
      <c r="A724" s="27" t="s">
        <v>8648</v>
      </c>
      <c r="B724" s="19" t="s">
        <v>8920</v>
      </c>
      <c r="C724" s="22"/>
      <c r="D724" s="19" t="str">
        <f t="shared" si="34"/>
        <v>https://kokusho.nijl.ac.jp/biblio/100314627/105</v>
      </c>
      <c r="E724" s="22"/>
      <c r="F724" s="22"/>
      <c r="G724" s="22"/>
    </row>
    <row r="725" spans="1:7" x14ac:dyDescent="0.15">
      <c r="A725" s="27" t="s">
        <v>8648</v>
      </c>
      <c r="B725" s="19" t="s">
        <v>6016</v>
      </c>
      <c r="C725" s="22"/>
      <c r="D725" s="19" t="str">
        <f t="shared" si="34"/>
        <v>https://kokusho.nijl.ac.jp/biblio/100314627/105</v>
      </c>
      <c r="E725" s="22"/>
      <c r="F725" s="22"/>
      <c r="G725" s="22"/>
    </row>
    <row r="726" spans="1:7" x14ac:dyDescent="0.15">
      <c r="A726" s="27" t="s">
        <v>8648</v>
      </c>
      <c r="B726" s="19" t="s">
        <v>8921</v>
      </c>
      <c r="C726" s="22"/>
      <c r="D726" s="19" t="str">
        <f t="shared" si="34"/>
        <v>https://kokusho.nijl.ac.jp/biblio/100314627/105</v>
      </c>
      <c r="E726" s="22"/>
      <c r="F726" s="22"/>
      <c r="G726" s="22"/>
    </row>
    <row r="727" spans="1:7" x14ac:dyDescent="0.15">
      <c r="A727" s="27" t="s">
        <v>8648</v>
      </c>
      <c r="B727" s="19" t="s">
        <v>8922</v>
      </c>
      <c r="C727" s="22"/>
      <c r="D727" s="19" t="str">
        <f t="shared" si="34"/>
        <v>https://kokusho.nijl.ac.jp/biblio/100314627/105</v>
      </c>
      <c r="E727" s="22"/>
      <c r="F727" s="22"/>
      <c r="G727" s="22"/>
    </row>
    <row r="728" spans="1:7" x14ac:dyDescent="0.15">
      <c r="A728" s="27" t="s">
        <v>8648</v>
      </c>
      <c r="B728" s="19" t="s">
        <v>8923</v>
      </c>
      <c r="C728" s="22"/>
      <c r="D728" s="19" t="str">
        <f t="shared" si="34"/>
        <v>https://kokusho.nijl.ac.jp/biblio/100314627/105</v>
      </c>
      <c r="E728" s="22"/>
      <c r="F728" s="22"/>
      <c r="G728" s="22"/>
    </row>
    <row r="729" spans="1:7" x14ac:dyDescent="0.15">
      <c r="A729" s="27" t="s">
        <v>8648</v>
      </c>
      <c r="B729" s="19" t="s">
        <v>8924</v>
      </c>
      <c r="C729" s="22"/>
      <c r="D729" s="19" t="str">
        <f t="shared" si="34"/>
        <v>https://kokusho.nijl.ac.jp/biblio/100314627/105</v>
      </c>
      <c r="E729" s="22"/>
      <c r="F729" s="22"/>
      <c r="G729" s="22"/>
    </row>
    <row r="730" spans="1:7" x14ac:dyDescent="0.15">
      <c r="A730" s="27" t="s">
        <v>8648</v>
      </c>
      <c r="B730" s="19" t="s">
        <v>8925</v>
      </c>
      <c r="C730" s="22"/>
      <c r="D730" s="19" t="str">
        <f t="shared" ref="D730:D744" si="35">HYPERLINK("https://kokusho.nijl.ac.jp/biblio/100314627/106")</f>
        <v>https://kokusho.nijl.ac.jp/biblio/100314627/106</v>
      </c>
      <c r="E730" s="22"/>
      <c r="F730" s="22"/>
      <c r="G730" s="22"/>
    </row>
    <row r="731" spans="1:7" x14ac:dyDescent="0.15">
      <c r="A731" s="27" t="s">
        <v>8648</v>
      </c>
      <c r="B731" s="19" t="s">
        <v>8926</v>
      </c>
      <c r="C731" s="22"/>
      <c r="D731" s="19" t="str">
        <f t="shared" si="35"/>
        <v>https://kokusho.nijl.ac.jp/biblio/100314627/106</v>
      </c>
      <c r="E731" s="22"/>
      <c r="F731" s="22"/>
      <c r="G731" s="22"/>
    </row>
    <row r="732" spans="1:7" x14ac:dyDescent="0.15">
      <c r="A732" s="27" t="s">
        <v>8648</v>
      </c>
      <c r="B732" s="19" t="s">
        <v>5992</v>
      </c>
      <c r="C732" s="22"/>
      <c r="D732" s="19" t="str">
        <f t="shared" si="35"/>
        <v>https://kokusho.nijl.ac.jp/biblio/100314627/106</v>
      </c>
      <c r="E732" s="22"/>
      <c r="F732" s="22"/>
      <c r="G732" s="22"/>
    </row>
    <row r="733" spans="1:7" x14ac:dyDescent="0.15">
      <c r="A733" s="27" t="s">
        <v>8648</v>
      </c>
      <c r="B733" s="19" t="s">
        <v>8250</v>
      </c>
      <c r="C733" s="22"/>
      <c r="D733" s="19" t="str">
        <f t="shared" si="35"/>
        <v>https://kokusho.nijl.ac.jp/biblio/100314627/106</v>
      </c>
      <c r="E733" s="22"/>
      <c r="F733" s="22"/>
      <c r="G733" s="22"/>
    </row>
    <row r="734" spans="1:7" x14ac:dyDescent="0.15">
      <c r="A734" s="27" t="s">
        <v>8648</v>
      </c>
      <c r="B734" s="19" t="s">
        <v>8257</v>
      </c>
      <c r="C734" s="22"/>
      <c r="D734" s="19" t="str">
        <f t="shared" si="35"/>
        <v>https://kokusho.nijl.ac.jp/biblio/100314627/106</v>
      </c>
      <c r="E734" s="22"/>
      <c r="F734" s="22"/>
      <c r="G734" s="22"/>
    </row>
    <row r="735" spans="1:7" x14ac:dyDescent="0.15">
      <c r="A735" s="27" t="s">
        <v>8648</v>
      </c>
      <c r="B735" s="19" t="s">
        <v>8254</v>
      </c>
      <c r="C735" s="22"/>
      <c r="D735" s="19" t="str">
        <f t="shared" si="35"/>
        <v>https://kokusho.nijl.ac.jp/biblio/100314627/106</v>
      </c>
      <c r="E735" s="22"/>
      <c r="F735" s="22"/>
      <c r="G735" s="22"/>
    </row>
    <row r="736" spans="1:7" x14ac:dyDescent="0.15">
      <c r="A736" s="27" t="s">
        <v>8648</v>
      </c>
      <c r="B736" s="19" t="s">
        <v>8927</v>
      </c>
      <c r="C736" s="22"/>
      <c r="D736" s="19" t="str">
        <f t="shared" si="35"/>
        <v>https://kokusho.nijl.ac.jp/biblio/100314627/106</v>
      </c>
      <c r="E736" s="22"/>
      <c r="F736" s="22"/>
      <c r="G736" s="22"/>
    </row>
    <row r="737" spans="1:7" x14ac:dyDescent="0.15">
      <c r="A737" s="27" t="s">
        <v>8648</v>
      </c>
      <c r="B737" s="19" t="s">
        <v>8928</v>
      </c>
      <c r="C737" s="22"/>
      <c r="D737" s="19" t="str">
        <f t="shared" si="35"/>
        <v>https://kokusho.nijl.ac.jp/biblio/100314627/106</v>
      </c>
      <c r="E737" s="22"/>
      <c r="F737" s="22"/>
      <c r="G737" s="22"/>
    </row>
    <row r="738" spans="1:7" x14ac:dyDescent="0.15">
      <c r="A738" s="27" t="s">
        <v>8648</v>
      </c>
      <c r="B738" s="19" t="s">
        <v>8247</v>
      </c>
      <c r="C738" s="22"/>
      <c r="D738" s="19" t="str">
        <f t="shared" si="35"/>
        <v>https://kokusho.nijl.ac.jp/biblio/100314627/106</v>
      </c>
      <c r="E738" s="22"/>
      <c r="F738" s="22"/>
      <c r="G738" s="22"/>
    </row>
    <row r="739" spans="1:7" x14ac:dyDescent="0.15">
      <c r="A739" s="27" t="s">
        <v>8648</v>
      </c>
      <c r="B739" s="19" t="s">
        <v>8240</v>
      </c>
      <c r="C739" s="22"/>
      <c r="D739" s="19" t="str">
        <f t="shared" si="35"/>
        <v>https://kokusho.nijl.ac.jp/biblio/100314627/106</v>
      </c>
      <c r="E739" s="22"/>
      <c r="F739" s="22"/>
      <c r="G739" s="22"/>
    </row>
    <row r="740" spans="1:7" x14ac:dyDescent="0.15">
      <c r="A740" s="27" t="s">
        <v>8648</v>
      </c>
      <c r="B740" s="20" t="s">
        <v>8929</v>
      </c>
      <c r="C740" s="22"/>
      <c r="D740" s="19" t="str">
        <f t="shared" si="35"/>
        <v>https://kokusho.nijl.ac.jp/biblio/100314627/106</v>
      </c>
      <c r="E740" s="22"/>
      <c r="F740" s="22"/>
      <c r="G740" s="22"/>
    </row>
    <row r="741" spans="1:7" x14ac:dyDescent="0.15">
      <c r="A741" s="27" t="s">
        <v>8648</v>
      </c>
      <c r="B741" s="19" t="s">
        <v>8352</v>
      </c>
      <c r="C741" s="22"/>
      <c r="D741" s="19" t="str">
        <f t="shared" si="35"/>
        <v>https://kokusho.nijl.ac.jp/biblio/100314627/106</v>
      </c>
      <c r="E741" s="22"/>
      <c r="F741" s="22"/>
      <c r="G741" s="22"/>
    </row>
    <row r="742" spans="1:7" x14ac:dyDescent="0.15">
      <c r="A742" s="27" t="s">
        <v>8648</v>
      </c>
      <c r="B742" s="19" t="s">
        <v>8930</v>
      </c>
      <c r="C742" s="22"/>
      <c r="D742" s="19" t="str">
        <f t="shared" si="35"/>
        <v>https://kokusho.nijl.ac.jp/biblio/100314627/106</v>
      </c>
      <c r="E742" s="22"/>
      <c r="F742" s="22"/>
      <c r="G742" s="22"/>
    </row>
    <row r="743" spans="1:7" x14ac:dyDescent="0.15">
      <c r="A743" s="27" t="s">
        <v>8648</v>
      </c>
      <c r="B743" s="19" t="s">
        <v>8931</v>
      </c>
      <c r="C743" s="22"/>
      <c r="D743" s="19" t="str">
        <f t="shared" si="35"/>
        <v>https://kokusho.nijl.ac.jp/biblio/100314627/106</v>
      </c>
      <c r="E743" s="22"/>
      <c r="F743" s="22"/>
      <c r="G743" s="22"/>
    </row>
    <row r="744" spans="1:7" x14ac:dyDescent="0.15">
      <c r="A744" s="27" t="s">
        <v>8648</v>
      </c>
      <c r="B744" s="19" t="s">
        <v>5778</v>
      </c>
      <c r="C744" s="22"/>
      <c r="D744" s="19" t="str">
        <f t="shared" si="35"/>
        <v>https://kokusho.nijl.ac.jp/biblio/100314627/106</v>
      </c>
      <c r="E744" s="22"/>
      <c r="F744" s="22"/>
      <c r="G744" s="22"/>
    </row>
    <row r="745" spans="1:7" x14ac:dyDescent="0.15">
      <c r="A745" s="27" t="s">
        <v>8648</v>
      </c>
      <c r="B745" s="20" t="s">
        <v>8932</v>
      </c>
      <c r="C745" s="22"/>
      <c r="D745" s="19" t="str">
        <f t="shared" ref="D745:D757" si="36">HYPERLINK("https://kokusho.nijl.ac.jp/biblio/100314627/107")</f>
        <v>https://kokusho.nijl.ac.jp/biblio/100314627/107</v>
      </c>
      <c r="E745" s="22"/>
      <c r="F745" s="22"/>
      <c r="G745" s="22"/>
    </row>
    <row r="746" spans="1:7" x14ac:dyDescent="0.15">
      <c r="A746" s="27" t="s">
        <v>8648</v>
      </c>
      <c r="B746" s="19" t="s">
        <v>8382</v>
      </c>
      <c r="C746" s="22"/>
      <c r="D746" s="19" t="str">
        <f t="shared" si="36"/>
        <v>https://kokusho.nijl.ac.jp/biblio/100314627/107</v>
      </c>
      <c r="E746" s="22"/>
      <c r="F746" s="22"/>
      <c r="G746" s="22"/>
    </row>
    <row r="747" spans="1:7" x14ac:dyDescent="0.15">
      <c r="A747" s="27" t="s">
        <v>8648</v>
      </c>
      <c r="B747" s="19" t="s">
        <v>8933</v>
      </c>
      <c r="C747" s="22"/>
      <c r="D747" s="19" t="str">
        <f t="shared" si="36"/>
        <v>https://kokusho.nijl.ac.jp/biblio/100314627/107</v>
      </c>
      <c r="E747" s="22"/>
      <c r="F747" s="22"/>
      <c r="G747" s="22"/>
    </row>
    <row r="748" spans="1:7" x14ac:dyDescent="0.15">
      <c r="A748" s="27" t="s">
        <v>8648</v>
      </c>
      <c r="B748" s="19" t="s">
        <v>8934</v>
      </c>
      <c r="C748" s="22"/>
      <c r="D748" s="19" t="str">
        <f t="shared" si="36"/>
        <v>https://kokusho.nijl.ac.jp/biblio/100314627/107</v>
      </c>
      <c r="E748" s="22"/>
      <c r="F748" s="22"/>
      <c r="G748" s="22"/>
    </row>
    <row r="749" spans="1:7" x14ac:dyDescent="0.15">
      <c r="A749" s="27" t="s">
        <v>8648</v>
      </c>
      <c r="B749" s="19" t="s">
        <v>8935</v>
      </c>
      <c r="C749" s="22"/>
      <c r="D749" s="19" t="str">
        <f t="shared" si="36"/>
        <v>https://kokusho.nijl.ac.jp/biblio/100314627/107</v>
      </c>
      <c r="E749" s="22"/>
      <c r="F749" s="22"/>
      <c r="G749" s="22"/>
    </row>
    <row r="750" spans="1:7" x14ac:dyDescent="0.15">
      <c r="A750" s="27" t="s">
        <v>8648</v>
      </c>
      <c r="B750" s="19" t="s">
        <v>8403</v>
      </c>
      <c r="C750" s="22"/>
      <c r="D750" s="19" t="str">
        <f t="shared" si="36"/>
        <v>https://kokusho.nijl.ac.jp/biblio/100314627/107</v>
      </c>
      <c r="E750" s="22"/>
      <c r="F750" s="22"/>
      <c r="G750" s="22"/>
    </row>
    <row r="751" spans="1:7" x14ac:dyDescent="0.15">
      <c r="A751" s="27" t="s">
        <v>8648</v>
      </c>
      <c r="B751" s="19" t="s">
        <v>8936</v>
      </c>
      <c r="C751" s="22"/>
      <c r="D751" s="19" t="str">
        <f t="shared" si="36"/>
        <v>https://kokusho.nijl.ac.jp/biblio/100314627/107</v>
      </c>
      <c r="E751" s="22"/>
      <c r="F751" s="22"/>
      <c r="G751" s="22"/>
    </row>
    <row r="752" spans="1:7" x14ac:dyDescent="0.15">
      <c r="A752" s="27" t="s">
        <v>8648</v>
      </c>
      <c r="B752" s="19" t="s">
        <v>8937</v>
      </c>
      <c r="C752" s="22"/>
      <c r="D752" s="19" t="str">
        <f t="shared" si="36"/>
        <v>https://kokusho.nijl.ac.jp/biblio/100314627/107</v>
      </c>
      <c r="E752" s="22"/>
      <c r="F752" s="22"/>
      <c r="G752" s="22"/>
    </row>
    <row r="753" spans="1:7" x14ac:dyDescent="0.15">
      <c r="A753" s="27" t="s">
        <v>8648</v>
      </c>
      <c r="B753" s="19" t="s">
        <v>6418</v>
      </c>
      <c r="C753" s="22"/>
      <c r="D753" s="19" t="str">
        <f t="shared" si="36"/>
        <v>https://kokusho.nijl.ac.jp/biblio/100314627/107</v>
      </c>
      <c r="E753" s="22"/>
      <c r="F753" s="22"/>
      <c r="G753" s="22"/>
    </row>
    <row r="754" spans="1:7" x14ac:dyDescent="0.15">
      <c r="A754" s="27" t="s">
        <v>8648</v>
      </c>
      <c r="B754" s="19" t="s">
        <v>8938</v>
      </c>
      <c r="C754" s="22"/>
      <c r="D754" s="19" t="str">
        <f t="shared" si="36"/>
        <v>https://kokusho.nijl.ac.jp/biblio/100314627/107</v>
      </c>
      <c r="E754" s="22"/>
      <c r="F754" s="22"/>
      <c r="G754" s="22"/>
    </row>
    <row r="755" spans="1:7" x14ac:dyDescent="0.15">
      <c r="A755" s="27" t="s">
        <v>8648</v>
      </c>
      <c r="B755" s="19" t="s">
        <v>8939</v>
      </c>
      <c r="C755" s="22"/>
      <c r="D755" s="19" t="str">
        <f t="shared" si="36"/>
        <v>https://kokusho.nijl.ac.jp/biblio/100314627/107</v>
      </c>
      <c r="E755" s="22"/>
      <c r="F755" s="22"/>
      <c r="G755" s="22"/>
    </row>
    <row r="756" spans="1:7" x14ac:dyDescent="0.15">
      <c r="A756" s="27" t="s">
        <v>8648</v>
      </c>
      <c r="B756" s="19" t="s">
        <v>8940</v>
      </c>
      <c r="C756" s="22"/>
      <c r="D756" s="19" t="str">
        <f t="shared" si="36"/>
        <v>https://kokusho.nijl.ac.jp/biblio/100314627/107</v>
      </c>
      <c r="E756" s="22"/>
      <c r="F756" s="22"/>
      <c r="G756" s="22"/>
    </row>
    <row r="757" spans="1:7" x14ac:dyDescent="0.15">
      <c r="A757" s="27" t="s">
        <v>8648</v>
      </c>
      <c r="B757" s="19" t="s">
        <v>8386</v>
      </c>
      <c r="C757" s="22"/>
      <c r="D757" s="19" t="str">
        <f t="shared" si="36"/>
        <v>https://kokusho.nijl.ac.jp/biblio/100314627/107</v>
      </c>
      <c r="E757" s="22"/>
      <c r="F757" s="22"/>
      <c r="G757" s="22"/>
    </row>
    <row r="758" spans="1:7" x14ac:dyDescent="0.15">
      <c r="A758" s="27" t="s">
        <v>8648</v>
      </c>
      <c r="B758" s="20" t="s">
        <v>8941</v>
      </c>
      <c r="C758" s="22"/>
      <c r="D758" s="19" t="str">
        <f t="shared" ref="D758:D770" si="37">HYPERLINK("https://kokusho.nijl.ac.jp/biblio/100314627/108")</f>
        <v>https://kokusho.nijl.ac.jp/biblio/100314627/108</v>
      </c>
      <c r="E758" s="22"/>
      <c r="F758" s="22"/>
      <c r="G758" s="22"/>
    </row>
    <row r="759" spans="1:7" x14ac:dyDescent="0.15">
      <c r="A759" s="27" t="s">
        <v>8648</v>
      </c>
      <c r="B759" s="19" t="s">
        <v>8942</v>
      </c>
      <c r="C759" s="22"/>
      <c r="D759" s="19" t="str">
        <f t="shared" si="37"/>
        <v>https://kokusho.nijl.ac.jp/biblio/100314627/108</v>
      </c>
      <c r="E759" s="22"/>
      <c r="F759" s="22"/>
      <c r="G759" s="22"/>
    </row>
    <row r="760" spans="1:7" x14ac:dyDescent="0.15">
      <c r="A760" s="27" t="s">
        <v>8648</v>
      </c>
      <c r="B760" s="19" t="s">
        <v>8943</v>
      </c>
      <c r="C760" s="22"/>
      <c r="D760" s="19" t="str">
        <f t="shared" si="37"/>
        <v>https://kokusho.nijl.ac.jp/biblio/100314627/108</v>
      </c>
      <c r="E760" s="22"/>
      <c r="F760" s="22"/>
      <c r="G760" s="22"/>
    </row>
    <row r="761" spans="1:7" x14ac:dyDescent="0.15">
      <c r="A761" s="27" t="s">
        <v>8648</v>
      </c>
      <c r="B761" s="19" t="s">
        <v>8944</v>
      </c>
      <c r="C761" s="22"/>
      <c r="D761" s="19" t="str">
        <f t="shared" si="37"/>
        <v>https://kokusho.nijl.ac.jp/biblio/100314627/108</v>
      </c>
      <c r="E761" s="22"/>
      <c r="F761" s="22"/>
      <c r="G761" s="22"/>
    </row>
    <row r="762" spans="1:7" x14ac:dyDescent="0.15">
      <c r="A762" s="27" t="s">
        <v>8648</v>
      </c>
      <c r="B762" s="19" t="s">
        <v>6556</v>
      </c>
      <c r="C762" s="22"/>
      <c r="D762" s="19" t="str">
        <f t="shared" si="37"/>
        <v>https://kokusho.nijl.ac.jp/biblio/100314627/108</v>
      </c>
      <c r="E762" s="22"/>
      <c r="F762" s="22"/>
      <c r="G762" s="22"/>
    </row>
    <row r="763" spans="1:7" x14ac:dyDescent="0.15">
      <c r="A763" s="27" t="s">
        <v>8648</v>
      </c>
      <c r="B763" s="20" t="s">
        <v>8945</v>
      </c>
      <c r="C763" s="22"/>
      <c r="D763" s="19" t="str">
        <f t="shared" si="37"/>
        <v>https://kokusho.nijl.ac.jp/biblio/100314627/108</v>
      </c>
      <c r="E763" s="22"/>
      <c r="F763" s="22"/>
      <c r="G763" s="22"/>
    </row>
    <row r="764" spans="1:7" x14ac:dyDescent="0.15">
      <c r="A764" s="27" t="s">
        <v>8648</v>
      </c>
      <c r="B764" s="19" t="s">
        <v>8946</v>
      </c>
      <c r="C764" s="22"/>
      <c r="D764" s="19" t="str">
        <f t="shared" si="37"/>
        <v>https://kokusho.nijl.ac.jp/biblio/100314627/108</v>
      </c>
      <c r="E764" s="22"/>
      <c r="F764" s="22"/>
      <c r="G764" s="22"/>
    </row>
    <row r="765" spans="1:7" x14ac:dyDescent="0.15">
      <c r="A765" s="27" t="s">
        <v>8648</v>
      </c>
      <c r="B765" s="19" t="s">
        <v>8621</v>
      </c>
      <c r="C765" s="22"/>
      <c r="D765" s="19" t="str">
        <f t="shared" si="37"/>
        <v>https://kokusho.nijl.ac.jp/biblio/100314627/108</v>
      </c>
      <c r="E765" s="22"/>
      <c r="F765" s="22"/>
      <c r="G765" s="22"/>
    </row>
    <row r="766" spans="1:7" x14ac:dyDescent="0.15">
      <c r="A766" s="27" t="s">
        <v>8648</v>
      </c>
      <c r="B766" s="19" t="s">
        <v>8562</v>
      </c>
      <c r="C766" s="22"/>
      <c r="D766" s="19" t="str">
        <f t="shared" si="37"/>
        <v>https://kokusho.nijl.ac.jp/biblio/100314627/108</v>
      </c>
      <c r="E766" s="22"/>
      <c r="F766" s="22"/>
      <c r="G766" s="22"/>
    </row>
    <row r="767" spans="1:7" x14ac:dyDescent="0.15">
      <c r="A767" s="27" t="s">
        <v>8648</v>
      </c>
      <c r="B767" s="19" t="s">
        <v>8947</v>
      </c>
      <c r="C767" s="22"/>
      <c r="D767" s="19" t="str">
        <f t="shared" si="37"/>
        <v>https://kokusho.nijl.ac.jp/biblio/100314627/108</v>
      </c>
      <c r="E767" s="22"/>
      <c r="F767" s="22"/>
      <c r="G767" s="22"/>
    </row>
    <row r="768" spans="1:7" x14ac:dyDescent="0.15">
      <c r="A768" s="27" t="s">
        <v>8648</v>
      </c>
      <c r="B768" s="19" t="s">
        <v>8948</v>
      </c>
      <c r="C768" s="22"/>
      <c r="D768" s="19" t="str">
        <f t="shared" si="37"/>
        <v>https://kokusho.nijl.ac.jp/biblio/100314627/108</v>
      </c>
      <c r="E768" s="22"/>
      <c r="F768" s="22"/>
      <c r="G768" s="22"/>
    </row>
    <row r="769" spans="1:7" x14ac:dyDescent="0.15">
      <c r="A769" s="27" t="s">
        <v>8648</v>
      </c>
      <c r="B769" s="19" t="s">
        <v>8616</v>
      </c>
      <c r="C769" s="22"/>
      <c r="D769" s="19" t="str">
        <f t="shared" si="37"/>
        <v>https://kokusho.nijl.ac.jp/biblio/100314627/108</v>
      </c>
      <c r="E769" s="22"/>
      <c r="F769" s="22"/>
      <c r="G769" s="22"/>
    </row>
    <row r="770" spans="1:7" x14ac:dyDescent="0.15">
      <c r="A770" s="27" t="s">
        <v>8648</v>
      </c>
      <c r="B770" s="19" t="s">
        <v>8468</v>
      </c>
      <c r="C770" s="22"/>
      <c r="D770" s="19" t="str">
        <f t="shared" si="37"/>
        <v>https://kokusho.nijl.ac.jp/biblio/100314627/108</v>
      </c>
      <c r="E770" s="22"/>
      <c r="F770" s="22"/>
      <c r="G770" s="22"/>
    </row>
    <row r="771" spans="1:7" x14ac:dyDescent="0.15">
      <c r="A771" s="27" t="s">
        <v>8648</v>
      </c>
      <c r="B771" s="19" t="s">
        <v>6156</v>
      </c>
      <c r="C771" s="22"/>
      <c r="D771" s="19" t="str">
        <f t="shared" ref="D771:D778" si="38">HYPERLINK("https://kokusho.nijl.ac.jp/biblio/100314627/109")</f>
        <v>https://kokusho.nijl.ac.jp/biblio/100314627/109</v>
      </c>
      <c r="E771" s="22"/>
      <c r="F771" s="22"/>
      <c r="G771" s="22"/>
    </row>
    <row r="772" spans="1:7" x14ac:dyDescent="0.15">
      <c r="A772" s="27" t="s">
        <v>8648</v>
      </c>
      <c r="B772" s="19" t="s">
        <v>8446</v>
      </c>
      <c r="C772" s="22"/>
      <c r="D772" s="19" t="str">
        <f t="shared" si="38"/>
        <v>https://kokusho.nijl.ac.jp/biblio/100314627/109</v>
      </c>
      <c r="E772" s="22"/>
      <c r="F772" s="22"/>
      <c r="G772" s="22"/>
    </row>
    <row r="773" spans="1:7" x14ac:dyDescent="0.15">
      <c r="A773" s="27" t="s">
        <v>8648</v>
      </c>
      <c r="B773" s="19" t="s">
        <v>8949</v>
      </c>
      <c r="C773" s="22"/>
      <c r="D773" s="19" t="str">
        <f t="shared" si="38"/>
        <v>https://kokusho.nijl.ac.jp/biblio/100314627/109</v>
      </c>
      <c r="E773" s="22"/>
      <c r="F773" s="22"/>
      <c r="G773" s="22"/>
    </row>
    <row r="774" spans="1:7" x14ac:dyDescent="0.15">
      <c r="A774" s="27" t="s">
        <v>8648</v>
      </c>
      <c r="B774" s="19" t="s">
        <v>8950</v>
      </c>
      <c r="C774" s="22"/>
      <c r="D774" s="19" t="str">
        <f t="shared" si="38"/>
        <v>https://kokusho.nijl.ac.jp/biblio/100314627/109</v>
      </c>
      <c r="E774" s="22"/>
      <c r="F774" s="22"/>
      <c r="G774" s="22"/>
    </row>
    <row r="775" spans="1:7" x14ac:dyDescent="0.15">
      <c r="A775" s="27" t="s">
        <v>8648</v>
      </c>
      <c r="B775" s="19" t="s">
        <v>8951</v>
      </c>
      <c r="C775" s="22"/>
      <c r="D775" s="19" t="str">
        <f t="shared" si="38"/>
        <v>https://kokusho.nijl.ac.jp/biblio/100314627/109</v>
      </c>
      <c r="E775" s="22"/>
      <c r="F775" s="22"/>
      <c r="G775" s="22"/>
    </row>
    <row r="776" spans="1:7" x14ac:dyDescent="0.15">
      <c r="A776" s="27" t="s">
        <v>8648</v>
      </c>
      <c r="B776" s="20" t="s">
        <v>8952</v>
      </c>
      <c r="C776" s="22"/>
      <c r="D776" s="19" t="str">
        <f t="shared" si="38"/>
        <v>https://kokusho.nijl.ac.jp/biblio/100314627/109</v>
      </c>
      <c r="E776" s="22"/>
      <c r="F776" s="22"/>
      <c r="G776" s="22"/>
    </row>
    <row r="777" spans="1:7" x14ac:dyDescent="0.15">
      <c r="A777" s="27" t="s">
        <v>8648</v>
      </c>
      <c r="B777" s="19" t="s">
        <v>8486</v>
      </c>
      <c r="C777" s="22"/>
      <c r="D777" s="19" t="str">
        <f t="shared" si="38"/>
        <v>https://kokusho.nijl.ac.jp/biblio/100314627/109</v>
      </c>
      <c r="E777" s="22"/>
      <c r="F777" s="22"/>
      <c r="G777" s="22"/>
    </row>
    <row r="778" spans="1:7" x14ac:dyDescent="0.15">
      <c r="A778" s="27" t="s">
        <v>8648</v>
      </c>
      <c r="B778" s="19" t="s">
        <v>8953</v>
      </c>
      <c r="C778" s="22"/>
      <c r="D778" s="19" t="str">
        <f t="shared" si="38"/>
        <v>https://kokusho.nijl.ac.jp/biblio/100314627/109</v>
      </c>
      <c r="E778" s="22"/>
      <c r="F778" s="22"/>
      <c r="G778" s="22"/>
    </row>
    <row r="779" spans="1:7" ht="27" x14ac:dyDescent="0.15">
      <c r="A779" s="26" t="s">
        <v>8954</v>
      </c>
      <c r="B779" s="25" t="s">
        <v>8955</v>
      </c>
      <c r="C779" s="22"/>
      <c r="D779" s="26" t="str">
        <f>HYPERLINK("https://kokusho.nijl.ac.jp/biblio/100232367/9")</f>
        <v>https://kokusho.nijl.ac.jp/biblio/100232367/9</v>
      </c>
      <c r="E779" s="22"/>
      <c r="F779" s="22"/>
      <c r="G779" s="22"/>
    </row>
    <row r="780" spans="1:7" x14ac:dyDescent="0.15">
      <c r="A780" s="19" t="s">
        <v>8956</v>
      </c>
      <c r="B780" s="25" t="s">
        <v>6768</v>
      </c>
      <c r="C780" s="22"/>
      <c r="D780" s="26" t="str">
        <f>HYPERLINK("https://kokusho.nijl.ac.jp/biblio/100232367/11")</f>
        <v>https://kokusho.nijl.ac.jp/biblio/100232367/11</v>
      </c>
      <c r="E780" s="22"/>
      <c r="F780" s="22"/>
      <c r="G780" s="22"/>
    </row>
    <row r="781" spans="1:7" x14ac:dyDescent="0.15">
      <c r="A781" s="19" t="s">
        <v>6767</v>
      </c>
      <c r="B781" s="25" t="s">
        <v>6769</v>
      </c>
      <c r="C781" s="22"/>
      <c r="D781" s="26" t="str">
        <f>HYPERLINK("https://kokusho.nijl.ac.jp/biblio/100232367/12")</f>
        <v>https://kokusho.nijl.ac.jp/biblio/100232367/12</v>
      </c>
      <c r="E781" s="22"/>
      <c r="F781" s="22"/>
      <c r="G781" s="22"/>
    </row>
    <row r="782" spans="1:7" x14ac:dyDescent="0.15">
      <c r="A782" s="19" t="s">
        <v>6767</v>
      </c>
      <c r="B782" s="25" t="s">
        <v>6770</v>
      </c>
      <c r="C782" s="22"/>
      <c r="D782" s="26" t="str">
        <f>HYPERLINK("https://kokusho.nijl.ac.jp/biblio/100232367/12")</f>
        <v>https://kokusho.nijl.ac.jp/biblio/100232367/12</v>
      </c>
      <c r="E782" s="22"/>
      <c r="F782" s="22"/>
      <c r="G782" s="22"/>
    </row>
    <row r="783" spans="1:7" x14ac:dyDescent="0.15">
      <c r="A783" s="19" t="s">
        <v>6767</v>
      </c>
      <c r="B783" s="25" t="s">
        <v>6771</v>
      </c>
      <c r="C783" s="22"/>
      <c r="D783" s="26" t="str">
        <f>HYPERLINK("https://kokusho.nijl.ac.jp/biblio/100232367/12")</f>
        <v>https://kokusho.nijl.ac.jp/biblio/100232367/12</v>
      </c>
      <c r="E783" s="22"/>
      <c r="F783" s="22"/>
      <c r="G783" s="22"/>
    </row>
    <row r="784" spans="1:7" x14ac:dyDescent="0.15">
      <c r="A784" s="19" t="s">
        <v>6767</v>
      </c>
      <c r="B784" s="25" t="s">
        <v>6772</v>
      </c>
      <c r="C784" s="22"/>
      <c r="D784" s="26" t="str">
        <f>HYPERLINK("https://kokusho.nijl.ac.jp/biblio/100232367/13")</f>
        <v>https://kokusho.nijl.ac.jp/biblio/100232367/13</v>
      </c>
      <c r="E784" s="22"/>
      <c r="F784" s="22"/>
      <c r="G784" s="22"/>
    </row>
    <row r="785" spans="1:7" x14ac:dyDescent="0.15">
      <c r="A785" s="19" t="s">
        <v>6767</v>
      </c>
      <c r="B785" s="25" t="s">
        <v>6773</v>
      </c>
      <c r="C785" s="22"/>
      <c r="D785" s="26" t="str">
        <f>HYPERLINK("https://kokusho.nijl.ac.jp/biblio/100232367/13")</f>
        <v>https://kokusho.nijl.ac.jp/biblio/100232367/13</v>
      </c>
      <c r="E785" s="22"/>
      <c r="F785" s="22"/>
      <c r="G785" s="22"/>
    </row>
    <row r="786" spans="1:7" x14ac:dyDescent="0.15">
      <c r="A786" s="19" t="s">
        <v>6767</v>
      </c>
      <c r="B786" s="25" t="s">
        <v>6774</v>
      </c>
      <c r="C786" s="22"/>
      <c r="D786" s="26" t="str">
        <f>HYPERLINK("https://kokusho.nijl.ac.jp/biblio/100232367/14")</f>
        <v>https://kokusho.nijl.ac.jp/biblio/100232367/14</v>
      </c>
      <c r="E786" s="22"/>
      <c r="F786" s="22"/>
      <c r="G786" s="22"/>
    </row>
    <row r="787" spans="1:7" x14ac:dyDescent="0.15">
      <c r="A787" s="19" t="s">
        <v>6767</v>
      </c>
      <c r="B787" s="25" t="s">
        <v>6775</v>
      </c>
      <c r="C787" s="22"/>
      <c r="D787" s="26" t="str">
        <f>HYPERLINK("https://kokusho.nijl.ac.jp/biblio/100232367/15")</f>
        <v>https://kokusho.nijl.ac.jp/biblio/100232367/15</v>
      </c>
      <c r="E787" s="22"/>
      <c r="F787" s="22"/>
      <c r="G787" s="22"/>
    </row>
    <row r="788" spans="1:7" x14ac:dyDescent="0.15">
      <c r="A788" s="19" t="s">
        <v>6767</v>
      </c>
      <c r="B788" s="25" t="s">
        <v>6776</v>
      </c>
      <c r="C788" s="22"/>
      <c r="D788" s="26" t="str">
        <f>HYPERLINK("https://kokusho.nijl.ac.jp/biblio/100232367/15")</f>
        <v>https://kokusho.nijl.ac.jp/biblio/100232367/15</v>
      </c>
      <c r="E788" s="22"/>
      <c r="F788" s="22"/>
      <c r="G788" s="22"/>
    </row>
    <row r="789" spans="1:7" x14ac:dyDescent="0.15">
      <c r="A789" s="19" t="s">
        <v>6767</v>
      </c>
      <c r="B789" s="25" t="s">
        <v>6777</v>
      </c>
      <c r="C789" s="22"/>
      <c r="D789" s="26" t="str">
        <f>HYPERLINK("https://kokusho.nijl.ac.jp/biblio/100232367/16")</f>
        <v>https://kokusho.nijl.ac.jp/biblio/100232367/16</v>
      </c>
      <c r="E789" s="22"/>
      <c r="F789" s="22"/>
      <c r="G789" s="22"/>
    </row>
    <row r="790" spans="1:7" x14ac:dyDescent="0.15">
      <c r="A790" s="19" t="s">
        <v>6767</v>
      </c>
      <c r="B790" s="25" t="s">
        <v>6778</v>
      </c>
      <c r="C790" s="22"/>
      <c r="D790" s="26" t="str">
        <f>HYPERLINK("https://kokusho.nijl.ac.jp/biblio/100232367/16")</f>
        <v>https://kokusho.nijl.ac.jp/biblio/100232367/16</v>
      </c>
      <c r="E790" s="22"/>
      <c r="F790" s="22"/>
      <c r="G790" s="22"/>
    </row>
    <row r="791" spans="1:7" x14ac:dyDescent="0.15">
      <c r="A791" s="19" t="s">
        <v>6767</v>
      </c>
      <c r="B791" s="25" t="s">
        <v>6779</v>
      </c>
      <c r="C791" s="22"/>
      <c r="D791" s="26" t="str">
        <f>HYPERLINK("https://kokusho.nijl.ac.jp/biblio/100232367/17")</f>
        <v>https://kokusho.nijl.ac.jp/biblio/100232367/17</v>
      </c>
      <c r="E791" s="22"/>
      <c r="F791" s="22"/>
      <c r="G791" s="22"/>
    </row>
    <row r="792" spans="1:7" x14ac:dyDescent="0.15">
      <c r="A792" s="19" t="s">
        <v>6767</v>
      </c>
      <c r="B792" s="25" t="s">
        <v>6780</v>
      </c>
      <c r="C792" s="22"/>
      <c r="D792" s="26" t="str">
        <f>HYPERLINK("https://kokusho.nijl.ac.jp/biblio/100232367/17")</f>
        <v>https://kokusho.nijl.ac.jp/biblio/100232367/17</v>
      </c>
      <c r="E792" s="22"/>
      <c r="F792" s="22"/>
      <c r="G792" s="22"/>
    </row>
    <row r="793" spans="1:7" x14ac:dyDescent="0.15">
      <c r="A793" s="19" t="s">
        <v>6767</v>
      </c>
      <c r="B793" s="25" t="s">
        <v>6781</v>
      </c>
      <c r="C793" s="22"/>
      <c r="D793" s="26" t="str">
        <f>HYPERLINK("https://kokusho.nijl.ac.jp/biblio/100232367/18")</f>
        <v>https://kokusho.nijl.ac.jp/biblio/100232367/18</v>
      </c>
      <c r="E793" s="22"/>
      <c r="F793" s="22"/>
      <c r="G793" s="22"/>
    </row>
    <row r="794" spans="1:7" x14ac:dyDescent="0.15">
      <c r="A794" s="19" t="s">
        <v>6767</v>
      </c>
      <c r="B794" s="25" t="s">
        <v>6782</v>
      </c>
      <c r="C794" s="22"/>
      <c r="D794" s="26" t="str">
        <f>HYPERLINK("https://kokusho.nijl.ac.jp/biblio/100232367/18")</f>
        <v>https://kokusho.nijl.ac.jp/biblio/100232367/18</v>
      </c>
      <c r="E794" s="22"/>
      <c r="F794" s="22"/>
      <c r="G794" s="22"/>
    </row>
    <row r="795" spans="1:7" x14ac:dyDescent="0.15">
      <c r="A795" s="19" t="s">
        <v>6767</v>
      </c>
      <c r="B795" s="25" t="s">
        <v>6783</v>
      </c>
      <c r="C795" s="22"/>
      <c r="D795" s="26" t="str">
        <f>HYPERLINK("https://kokusho.nijl.ac.jp/biblio/100232367/18")</f>
        <v>https://kokusho.nijl.ac.jp/biblio/100232367/18</v>
      </c>
      <c r="E795" s="22"/>
      <c r="F795" s="22"/>
      <c r="G795" s="22"/>
    </row>
    <row r="796" spans="1:7" x14ac:dyDescent="0.15">
      <c r="A796" s="19" t="s">
        <v>6767</v>
      </c>
      <c r="B796" s="25" t="s">
        <v>6784</v>
      </c>
      <c r="C796" s="22"/>
      <c r="D796" s="26" t="str">
        <f>HYPERLINK("https://kokusho.nijl.ac.jp/biblio/100232367/18")</f>
        <v>https://kokusho.nijl.ac.jp/biblio/100232367/18</v>
      </c>
      <c r="E796" s="22"/>
      <c r="F796" s="22"/>
      <c r="G796" s="22"/>
    </row>
    <row r="797" spans="1:7" x14ac:dyDescent="0.15">
      <c r="A797" s="19" t="s">
        <v>6767</v>
      </c>
      <c r="B797" s="25" t="s">
        <v>6785</v>
      </c>
      <c r="C797" s="22"/>
      <c r="D797" s="26" t="str">
        <f>HYPERLINK("https://kokusho.nijl.ac.jp/biblio/100232367/18")</f>
        <v>https://kokusho.nijl.ac.jp/biblio/100232367/18</v>
      </c>
      <c r="E797" s="22"/>
      <c r="F797" s="22"/>
      <c r="G797" s="22"/>
    </row>
    <row r="798" spans="1:7" x14ac:dyDescent="0.15">
      <c r="A798" s="19" t="s">
        <v>6767</v>
      </c>
      <c r="B798" s="25" t="s">
        <v>6786</v>
      </c>
      <c r="C798" s="22"/>
      <c r="D798" s="26" t="str">
        <f>HYPERLINK("https://kokusho.nijl.ac.jp/biblio/100232367/20")</f>
        <v>https://kokusho.nijl.ac.jp/biblio/100232367/20</v>
      </c>
      <c r="E798" s="22"/>
      <c r="F798" s="22"/>
      <c r="G798" s="22"/>
    </row>
    <row r="799" spans="1:7" x14ac:dyDescent="0.15">
      <c r="A799" s="19" t="s">
        <v>6767</v>
      </c>
      <c r="B799" s="25" t="s">
        <v>6787</v>
      </c>
      <c r="C799" s="22"/>
      <c r="D799" s="26" t="str">
        <f>HYPERLINK("https://kokusho.nijl.ac.jp/biblio/100232367/20")</f>
        <v>https://kokusho.nijl.ac.jp/biblio/100232367/20</v>
      </c>
      <c r="E799" s="22"/>
      <c r="F799" s="22"/>
      <c r="G799" s="22"/>
    </row>
    <row r="800" spans="1:7" x14ac:dyDescent="0.15">
      <c r="A800" s="19" t="s">
        <v>6767</v>
      </c>
      <c r="B800" s="25" t="s">
        <v>6788</v>
      </c>
      <c r="C800" s="22"/>
      <c r="D800" s="26" t="str">
        <f>HYPERLINK("https://kokusho.nijl.ac.jp/biblio/100232367/20")</f>
        <v>https://kokusho.nijl.ac.jp/biblio/100232367/20</v>
      </c>
      <c r="E800" s="22"/>
      <c r="F800" s="22"/>
      <c r="G800" s="22"/>
    </row>
    <row r="801" spans="1:7" x14ac:dyDescent="0.15">
      <c r="A801" s="19" t="s">
        <v>6767</v>
      </c>
      <c r="B801" s="25" t="s">
        <v>6789</v>
      </c>
      <c r="C801" s="22"/>
      <c r="D801" s="26" t="str">
        <f>HYPERLINK("https://kokusho.nijl.ac.jp/biblio/100232367/21")</f>
        <v>https://kokusho.nijl.ac.jp/biblio/100232367/21</v>
      </c>
      <c r="E801" s="22"/>
      <c r="F801" s="22"/>
      <c r="G801" s="22"/>
    </row>
    <row r="802" spans="1:7" x14ac:dyDescent="0.15">
      <c r="A802" s="19" t="s">
        <v>6767</v>
      </c>
      <c r="B802" s="25" t="s">
        <v>6790</v>
      </c>
      <c r="C802" s="22"/>
      <c r="D802" s="26" t="str">
        <f>HYPERLINK("https://kokusho.nijl.ac.jp/biblio/100232367/21")</f>
        <v>https://kokusho.nijl.ac.jp/biblio/100232367/21</v>
      </c>
      <c r="E802" s="22"/>
      <c r="F802" s="22"/>
      <c r="G802" s="22"/>
    </row>
    <row r="803" spans="1:7" x14ac:dyDescent="0.15">
      <c r="A803" s="19" t="s">
        <v>6767</v>
      </c>
      <c r="B803" s="25" t="s">
        <v>6791</v>
      </c>
      <c r="C803" s="22"/>
      <c r="D803" s="26" t="str">
        <f>HYPERLINK("https://kokusho.nijl.ac.jp/biblio/100232367/22")</f>
        <v>https://kokusho.nijl.ac.jp/biblio/100232367/22</v>
      </c>
      <c r="E803" s="22"/>
      <c r="F803" s="22"/>
      <c r="G803" s="22"/>
    </row>
    <row r="804" spans="1:7" x14ac:dyDescent="0.15">
      <c r="A804" s="19" t="s">
        <v>6767</v>
      </c>
      <c r="B804" s="25" t="s">
        <v>6792</v>
      </c>
      <c r="C804" s="22"/>
      <c r="D804" s="26" t="str">
        <f>HYPERLINK("https://kokusho.nijl.ac.jp/biblio/100232367/22")</f>
        <v>https://kokusho.nijl.ac.jp/biblio/100232367/22</v>
      </c>
      <c r="E804" s="22"/>
      <c r="F804" s="22"/>
      <c r="G804" s="22"/>
    </row>
    <row r="805" spans="1:7" x14ac:dyDescent="0.15">
      <c r="A805" s="19" t="s">
        <v>6767</v>
      </c>
      <c r="B805" s="25" t="s">
        <v>6793</v>
      </c>
      <c r="C805" s="22"/>
      <c r="D805" s="26" t="str">
        <f>HYPERLINK("https://kokusho.nijl.ac.jp/biblio/100232367/22")</f>
        <v>https://kokusho.nijl.ac.jp/biblio/100232367/22</v>
      </c>
      <c r="E805" s="22"/>
      <c r="F805" s="22"/>
      <c r="G805" s="22"/>
    </row>
    <row r="806" spans="1:7" x14ac:dyDescent="0.15">
      <c r="A806" s="19" t="s">
        <v>6767</v>
      </c>
      <c r="B806" s="25" t="s">
        <v>6794</v>
      </c>
      <c r="C806" s="22"/>
      <c r="D806" s="26" t="str">
        <f t="shared" ref="D806:D811" si="39">HYPERLINK("https://kokusho.nijl.ac.jp/biblio/100232367/23")</f>
        <v>https://kokusho.nijl.ac.jp/biblio/100232367/23</v>
      </c>
      <c r="E806" s="22"/>
      <c r="F806" s="22"/>
      <c r="G806" s="22"/>
    </row>
    <row r="807" spans="1:7" x14ac:dyDescent="0.15">
      <c r="A807" s="19" t="s">
        <v>6767</v>
      </c>
      <c r="B807" s="25" t="s">
        <v>6795</v>
      </c>
      <c r="C807" s="22"/>
      <c r="D807" s="26" t="str">
        <f t="shared" si="39"/>
        <v>https://kokusho.nijl.ac.jp/biblio/100232367/23</v>
      </c>
      <c r="E807" s="22"/>
      <c r="F807" s="22"/>
      <c r="G807" s="22"/>
    </row>
    <row r="808" spans="1:7" x14ac:dyDescent="0.15">
      <c r="A808" s="19" t="s">
        <v>6767</v>
      </c>
      <c r="B808" s="25" t="s">
        <v>6796</v>
      </c>
      <c r="C808" s="22"/>
      <c r="D808" s="26" t="str">
        <f t="shared" si="39"/>
        <v>https://kokusho.nijl.ac.jp/biblio/100232367/23</v>
      </c>
      <c r="E808" s="22"/>
      <c r="F808" s="22"/>
      <c r="G808" s="22"/>
    </row>
    <row r="809" spans="1:7" x14ac:dyDescent="0.15">
      <c r="A809" s="19" t="s">
        <v>6767</v>
      </c>
      <c r="B809" s="25" t="s">
        <v>6797</v>
      </c>
      <c r="C809" s="22"/>
      <c r="D809" s="26" t="str">
        <f t="shared" si="39"/>
        <v>https://kokusho.nijl.ac.jp/biblio/100232367/23</v>
      </c>
      <c r="E809" s="22"/>
      <c r="F809" s="22"/>
      <c r="G809" s="22"/>
    </row>
    <row r="810" spans="1:7" x14ac:dyDescent="0.15">
      <c r="A810" s="19" t="s">
        <v>6767</v>
      </c>
      <c r="B810" s="25" t="s">
        <v>6798</v>
      </c>
      <c r="C810" s="22"/>
      <c r="D810" s="26" t="str">
        <f t="shared" si="39"/>
        <v>https://kokusho.nijl.ac.jp/biblio/100232367/23</v>
      </c>
      <c r="E810" s="22"/>
      <c r="F810" s="22"/>
      <c r="G810" s="22"/>
    </row>
    <row r="811" spans="1:7" x14ac:dyDescent="0.15">
      <c r="A811" s="19" t="s">
        <v>6767</v>
      </c>
      <c r="B811" s="25" t="s">
        <v>6799</v>
      </c>
      <c r="C811" s="22"/>
      <c r="D811" s="26" t="str">
        <f t="shared" si="39"/>
        <v>https://kokusho.nijl.ac.jp/biblio/100232367/23</v>
      </c>
      <c r="E811" s="22"/>
      <c r="F811" s="22"/>
      <c r="G811" s="22"/>
    </row>
    <row r="812" spans="1:7" x14ac:dyDescent="0.15">
      <c r="A812" s="19" t="s">
        <v>6767</v>
      </c>
      <c r="B812" s="25" t="s">
        <v>6800</v>
      </c>
      <c r="C812" s="22"/>
      <c r="D812" s="26" t="str">
        <f>HYPERLINK("https://kokusho.nijl.ac.jp/biblio/100232367/24")</f>
        <v>https://kokusho.nijl.ac.jp/biblio/100232367/24</v>
      </c>
      <c r="E812" s="22"/>
      <c r="F812" s="22"/>
      <c r="G812" s="22"/>
    </row>
    <row r="813" spans="1:7" x14ac:dyDescent="0.15">
      <c r="A813" s="19" t="s">
        <v>6767</v>
      </c>
      <c r="B813" s="25" t="s">
        <v>6801</v>
      </c>
      <c r="C813" s="22"/>
      <c r="D813" s="26" t="str">
        <f>HYPERLINK("https://kokusho.nijl.ac.jp/biblio/100232367/24")</f>
        <v>https://kokusho.nijl.ac.jp/biblio/100232367/24</v>
      </c>
      <c r="E813" s="22"/>
      <c r="F813" s="22"/>
      <c r="G813" s="22"/>
    </row>
    <row r="814" spans="1:7" x14ac:dyDescent="0.15">
      <c r="A814" s="19" t="s">
        <v>6767</v>
      </c>
      <c r="B814" s="25" t="s">
        <v>6802</v>
      </c>
      <c r="C814" s="22"/>
      <c r="D814" s="26" t="str">
        <f>HYPERLINK("https://kokusho.nijl.ac.jp/biblio/100232367/25")</f>
        <v>https://kokusho.nijl.ac.jp/biblio/100232367/25</v>
      </c>
      <c r="E814" s="22"/>
      <c r="F814" s="22"/>
      <c r="G814" s="22"/>
    </row>
    <row r="815" spans="1:7" x14ac:dyDescent="0.15">
      <c r="A815" s="19" t="s">
        <v>6767</v>
      </c>
      <c r="B815" s="25" t="s">
        <v>6803</v>
      </c>
      <c r="C815" s="22"/>
      <c r="D815" s="26" t="str">
        <f>HYPERLINK("https://kokusho.nijl.ac.jp/biblio/100232367/25")</f>
        <v>https://kokusho.nijl.ac.jp/biblio/100232367/25</v>
      </c>
      <c r="E815" s="22"/>
      <c r="F815" s="22"/>
      <c r="G815" s="22"/>
    </row>
    <row r="816" spans="1:7" x14ac:dyDescent="0.15">
      <c r="A816" s="19" t="s">
        <v>6767</v>
      </c>
      <c r="B816" s="25" t="s">
        <v>6804</v>
      </c>
      <c r="C816" s="22"/>
      <c r="D816" s="26" t="str">
        <f>HYPERLINK("https://kokusho.nijl.ac.jp/biblio/100232367/25")</f>
        <v>https://kokusho.nijl.ac.jp/biblio/100232367/25</v>
      </c>
      <c r="E816" s="22"/>
      <c r="F816" s="22"/>
      <c r="G816" s="22"/>
    </row>
    <row r="817" spans="1:7" x14ac:dyDescent="0.15">
      <c r="A817" s="19" t="s">
        <v>6767</v>
      </c>
      <c r="B817" s="25" t="s">
        <v>6805</v>
      </c>
      <c r="C817" s="22"/>
      <c r="D817" s="26" t="str">
        <f>HYPERLINK("https://kokusho.nijl.ac.jp/biblio/100232367/25")</f>
        <v>https://kokusho.nijl.ac.jp/biblio/100232367/25</v>
      </c>
      <c r="E817" s="22"/>
      <c r="F817" s="22"/>
      <c r="G817" s="22"/>
    </row>
    <row r="818" spans="1:7" x14ac:dyDescent="0.15">
      <c r="A818" s="19" t="s">
        <v>6767</v>
      </c>
      <c r="B818" s="25" t="s">
        <v>6806</v>
      </c>
      <c r="C818" s="22"/>
      <c r="D818" s="26" t="str">
        <f>HYPERLINK("https://kokusho.nijl.ac.jp/biblio/100232367/27")</f>
        <v>https://kokusho.nijl.ac.jp/biblio/100232367/27</v>
      </c>
      <c r="E818" s="22"/>
      <c r="F818" s="22"/>
      <c r="G818" s="22"/>
    </row>
    <row r="819" spans="1:7" x14ac:dyDescent="0.15">
      <c r="A819" s="19" t="s">
        <v>6767</v>
      </c>
      <c r="B819" s="25" t="s">
        <v>6807</v>
      </c>
      <c r="C819" s="22"/>
      <c r="D819" s="26" t="str">
        <f>HYPERLINK("https://kokusho.nijl.ac.jp/biblio/100232367/27")</f>
        <v>https://kokusho.nijl.ac.jp/biblio/100232367/27</v>
      </c>
      <c r="E819" s="22"/>
      <c r="F819" s="22"/>
      <c r="G819" s="22"/>
    </row>
    <row r="820" spans="1:7" x14ac:dyDescent="0.15">
      <c r="A820" s="19" t="s">
        <v>6767</v>
      </c>
      <c r="B820" s="25" t="s">
        <v>6808</v>
      </c>
      <c r="C820" s="22"/>
      <c r="D820" s="26" t="str">
        <f>HYPERLINK("https://kokusho.nijl.ac.jp/biblio/100232367/28")</f>
        <v>https://kokusho.nijl.ac.jp/biblio/100232367/28</v>
      </c>
      <c r="E820" s="22"/>
      <c r="F820" s="22"/>
      <c r="G820" s="22"/>
    </row>
    <row r="821" spans="1:7" x14ac:dyDescent="0.15">
      <c r="A821" s="19" t="s">
        <v>6767</v>
      </c>
      <c r="B821" s="25" t="s">
        <v>6809</v>
      </c>
      <c r="C821" s="22"/>
      <c r="D821" s="26" t="str">
        <f>HYPERLINK("https://kokusho.nijl.ac.jp/biblio/100232367/29")</f>
        <v>https://kokusho.nijl.ac.jp/biblio/100232367/29</v>
      </c>
      <c r="E821" s="22"/>
      <c r="F821" s="22"/>
      <c r="G821" s="22"/>
    </row>
    <row r="822" spans="1:7" x14ac:dyDescent="0.15">
      <c r="A822" s="19" t="s">
        <v>6767</v>
      </c>
      <c r="B822" s="25" t="s">
        <v>6810</v>
      </c>
      <c r="C822" s="22"/>
      <c r="D822" s="26" t="str">
        <f>HYPERLINK("https://kokusho.nijl.ac.jp/biblio/100232367/29")</f>
        <v>https://kokusho.nijl.ac.jp/biblio/100232367/29</v>
      </c>
      <c r="E822" s="22"/>
      <c r="F822" s="22"/>
      <c r="G822" s="22"/>
    </row>
    <row r="823" spans="1:7" x14ac:dyDescent="0.15">
      <c r="A823" s="19" t="s">
        <v>6767</v>
      </c>
      <c r="B823" s="25" t="s">
        <v>6811</v>
      </c>
      <c r="C823" s="22"/>
      <c r="D823" s="26" t="str">
        <f>HYPERLINK("https://kokusho.nijl.ac.jp/biblio/100232367/29")</f>
        <v>https://kokusho.nijl.ac.jp/biblio/100232367/29</v>
      </c>
      <c r="E823" s="22"/>
      <c r="F823" s="22"/>
      <c r="G823" s="22"/>
    </row>
    <row r="824" spans="1:7" x14ac:dyDescent="0.15">
      <c r="A824" s="19" t="s">
        <v>6767</v>
      </c>
      <c r="B824" s="25" t="s">
        <v>6812</v>
      </c>
      <c r="C824" s="22"/>
      <c r="D824" s="26" t="str">
        <f>HYPERLINK("https://kokusho.nijl.ac.jp/biblio/100232367/29")</f>
        <v>https://kokusho.nijl.ac.jp/biblio/100232367/29</v>
      </c>
      <c r="E824" s="22"/>
      <c r="F824" s="22"/>
      <c r="G824" s="22"/>
    </row>
    <row r="825" spans="1:7" x14ac:dyDescent="0.15">
      <c r="A825" s="19" t="s">
        <v>6767</v>
      </c>
      <c r="B825" s="25" t="s">
        <v>6813</v>
      </c>
      <c r="C825" s="22"/>
      <c r="D825" s="26" t="str">
        <f>HYPERLINK("https://kokusho.nijl.ac.jp/biblio/100232367/30")</f>
        <v>https://kokusho.nijl.ac.jp/biblio/100232367/30</v>
      </c>
      <c r="E825" s="22"/>
      <c r="F825" s="22"/>
      <c r="G825" s="22"/>
    </row>
    <row r="826" spans="1:7" x14ac:dyDescent="0.15">
      <c r="A826" s="19" t="s">
        <v>6767</v>
      </c>
      <c r="B826" s="25" t="s">
        <v>6814</v>
      </c>
      <c r="C826" s="22"/>
      <c r="D826" s="26" t="str">
        <f>HYPERLINK("https://kokusho.nijl.ac.jp/biblio/100232367/32")</f>
        <v>https://kokusho.nijl.ac.jp/biblio/100232367/32</v>
      </c>
      <c r="E826" s="22"/>
      <c r="F826" s="22"/>
      <c r="G826" s="22"/>
    </row>
    <row r="827" spans="1:7" x14ac:dyDescent="0.15">
      <c r="A827" s="19" t="s">
        <v>6767</v>
      </c>
      <c r="B827" s="25" t="s">
        <v>6815</v>
      </c>
      <c r="C827" s="22"/>
      <c r="D827" s="26" t="str">
        <f>HYPERLINK("https://kokusho.nijl.ac.jp/biblio/100232367/32")</f>
        <v>https://kokusho.nijl.ac.jp/biblio/100232367/32</v>
      </c>
      <c r="E827" s="22"/>
      <c r="F827" s="22"/>
      <c r="G827" s="22"/>
    </row>
    <row r="828" spans="1:7" x14ac:dyDescent="0.15">
      <c r="A828" s="19" t="s">
        <v>6767</v>
      </c>
      <c r="B828" s="25" t="s">
        <v>6816</v>
      </c>
      <c r="C828" s="22"/>
      <c r="D828" s="26" t="str">
        <f>HYPERLINK("https://kokusho.nijl.ac.jp/biblio/100232367/32")</f>
        <v>https://kokusho.nijl.ac.jp/biblio/100232367/32</v>
      </c>
      <c r="E828" s="22"/>
      <c r="F828" s="22"/>
      <c r="G828" s="22"/>
    </row>
    <row r="829" spans="1:7" x14ac:dyDescent="0.15">
      <c r="A829" s="19" t="s">
        <v>6767</v>
      </c>
      <c r="B829" s="25" t="s">
        <v>6817</v>
      </c>
      <c r="C829" s="22"/>
      <c r="D829" s="26" t="str">
        <f>HYPERLINK("https://kokusho.nijl.ac.jp/biblio/100232367/32")</f>
        <v>https://kokusho.nijl.ac.jp/biblio/100232367/32</v>
      </c>
      <c r="E829" s="22"/>
      <c r="F829" s="22"/>
      <c r="G829" s="22"/>
    </row>
    <row r="830" spans="1:7" x14ac:dyDescent="0.15">
      <c r="A830" s="19" t="s">
        <v>6767</v>
      </c>
      <c r="B830" s="25" t="s">
        <v>6818</v>
      </c>
      <c r="C830" s="22"/>
      <c r="D830" s="26" t="str">
        <f>HYPERLINK("https://kokusho.nijl.ac.jp/biblio/100232367/35")</f>
        <v>https://kokusho.nijl.ac.jp/biblio/100232367/35</v>
      </c>
      <c r="E830" s="22"/>
      <c r="F830" s="22"/>
      <c r="G830" s="22"/>
    </row>
    <row r="831" spans="1:7" x14ac:dyDescent="0.15">
      <c r="A831" s="19" t="s">
        <v>6767</v>
      </c>
      <c r="B831" s="25" t="s">
        <v>6819</v>
      </c>
      <c r="C831" s="22"/>
      <c r="D831" s="26" t="str">
        <f>HYPERLINK("https://kokusho.nijl.ac.jp/biblio/100232367/36")</f>
        <v>https://kokusho.nijl.ac.jp/biblio/100232367/36</v>
      </c>
      <c r="E831" s="22"/>
      <c r="F831" s="22"/>
      <c r="G831" s="22"/>
    </row>
    <row r="832" spans="1:7" x14ac:dyDescent="0.15">
      <c r="A832" s="19" t="s">
        <v>6767</v>
      </c>
      <c r="B832" s="25" t="s">
        <v>6820</v>
      </c>
      <c r="C832" s="22"/>
      <c r="D832" s="26" t="str">
        <f>HYPERLINK("https://kokusho.nijl.ac.jp/biblio/100232367/36")</f>
        <v>https://kokusho.nijl.ac.jp/biblio/100232367/36</v>
      </c>
      <c r="E832" s="22"/>
      <c r="F832" s="22"/>
      <c r="G832" s="22"/>
    </row>
    <row r="833" spans="1:7" x14ac:dyDescent="0.15">
      <c r="A833" s="19" t="s">
        <v>6767</v>
      </c>
      <c r="B833" s="25" t="s">
        <v>6821</v>
      </c>
      <c r="C833" s="22"/>
      <c r="D833" s="26" t="str">
        <f>HYPERLINK("https://kokusho.nijl.ac.jp/biblio/100232367/37")</f>
        <v>https://kokusho.nijl.ac.jp/biblio/100232367/37</v>
      </c>
      <c r="E833" s="22"/>
      <c r="F833" s="22"/>
      <c r="G833" s="22"/>
    </row>
    <row r="834" spans="1:7" x14ac:dyDescent="0.15">
      <c r="A834" s="19" t="s">
        <v>6767</v>
      </c>
      <c r="B834" s="25" t="s">
        <v>6822</v>
      </c>
      <c r="C834" s="22"/>
      <c r="D834" s="26" t="str">
        <f>HYPERLINK("https://kokusho.nijl.ac.jp/biblio/100232367/37")</f>
        <v>https://kokusho.nijl.ac.jp/biblio/100232367/37</v>
      </c>
      <c r="E834" s="22"/>
      <c r="F834" s="22"/>
      <c r="G834" s="22"/>
    </row>
    <row r="835" spans="1:7" x14ac:dyDescent="0.15">
      <c r="A835" s="19" t="s">
        <v>6767</v>
      </c>
      <c r="B835" s="25" t="s">
        <v>6823</v>
      </c>
      <c r="C835" s="22"/>
      <c r="D835" s="26" t="str">
        <f>HYPERLINK("https://kokusho.nijl.ac.jp/biblio/100232367/38")</f>
        <v>https://kokusho.nijl.ac.jp/biblio/100232367/38</v>
      </c>
      <c r="E835" s="22"/>
      <c r="F835" s="22"/>
      <c r="G835" s="22"/>
    </row>
    <row r="836" spans="1:7" x14ac:dyDescent="0.15">
      <c r="A836" s="19" t="s">
        <v>6767</v>
      </c>
      <c r="B836" s="25" t="s">
        <v>6824</v>
      </c>
      <c r="C836" s="22"/>
      <c r="D836" s="26" t="str">
        <f>HYPERLINK("https://kokusho.nijl.ac.jp/biblio/100232367/42")</f>
        <v>https://kokusho.nijl.ac.jp/biblio/100232367/42</v>
      </c>
      <c r="E836" s="22"/>
      <c r="F836" s="22"/>
      <c r="G836" s="22"/>
    </row>
    <row r="837" spans="1:7" x14ac:dyDescent="0.15">
      <c r="A837" s="19" t="s">
        <v>6767</v>
      </c>
      <c r="B837" s="25" t="s">
        <v>5617</v>
      </c>
      <c r="C837" s="22"/>
      <c r="D837" s="26" t="str">
        <f>HYPERLINK("https://kokusho.nijl.ac.jp/biblio/100232367/42")</f>
        <v>https://kokusho.nijl.ac.jp/biblio/100232367/42</v>
      </c>
      <c r="E837" s="22"/>
      <c r="F837" s="22"/>
      <c r="G837" s="22"/>
    </row>
    <row r="838" spans="1:7" x14ac:dyDescent="0.15">
      <c r="A838" s="19" t="s">
        <v>6767</v>
      </c>
      <c r="B838" s="25" t="s">
        <v>6770</v>
      </c>
      <c r="C838" s="22"/>
      <c r="D838" s="26" t="str">
        <f>HYPERLINK("https://kokusho.nijl.ac.jp/biblio/100232367/42")</f>
        <v>https://kokusho.nijl.ac.jp/biblio/100232367/42</v>
      </c>
      <c r="E838" s="22"/>
      <c r="F838" s="22"/>
      <c r="G838" s="22"/>
    </row>
    <row r="839" spans="1:7" x14ac:dyDescent="0.15">
      <c r="A839" s="19" t="s">
        <v>6767</v>
      </c>
      <c r="B839" s="25" t="s">
        <v>6825</v>
      </c>
      <c r="C839" s="22"/>
      <c r="D839" s="26" t="str">
        <f>HYPERLINK("https://kokusho.nijl.ac.jp/biblio/100232367/44")</f>
        <v>https://kokusho.nijl.ac.jp/biblio/100232367/44</v>
      </c>
      <c r="E839" s="22"/>
      <c r="F839" s="22"/>
      <c r="G839" s="22"/>
    </row>
    <row r="840" spans="1:7" x14ac:dyDescent="0.15">
      <c r="A840" s="19" t="s">
        <v>6767</v>
      </c>
      <c r="B840" s="25" t="s">
        <v>6826</v>
      </c>
      <c r="C840" s="22"/>
      <c r="D840" s="26" t="str">
        <f>HYPERLINK("https://kokusho.nijl.ac.jp/biblio/100232367/44")</f>
        <v>https://kokusho.nijl.ac.jp/biblio/100232367/44</v>
      </c>
      <c r="E840" s="22"/>
      <c r="F840" s="22"/>
      <c r="G840" s="22"/>
    </row>
    <row r="841" spans="1:7" x14ac:dyDescent="0.15">
      <c r="A841" s="19" t="s">
        <v>6767</v>
      </c>
      <c r="B841" s="25" t="s">
        <v>6827</v>
      </c>
      <c r="C841" s="22"/>
      <c r="D841" s="26" t="str">
        <f t="shared" ref="D841:D847" si="40">HYPERLINK("https://kokusho.nijl.ac.jp/biblio/100232367/45")</f>
        <v>https://kokusho.nijl.ac.jp/biblio/100232367/45</v>
      </c>
      <c r="E841" s="22"/>
      <c r="F841" s="22"/>
      <c r="G841" s="22"/>
    </row>
    <row r="842" spans="1:7" x14ac:dyDescent="0.15">
      <c r="A842" s="19" t="s">
        <v>6767</v>
      </c>
      <c r="B842" s="25" t="s">
        <v>6828</v>
      </c>
      <c r="C842" s="22"/>
      <c r="D842" s="26" t="str">
        <f t="shared" si="40"/>
        <v>https://kokusho.nijl.ac.jp/biblio/100232367/45</v>
      </c>
      <c r="E842" s="22"/>
      <c r="F842" s="22"/>
      <c r="G842" s="22"/>
    </row>
    <row r="843" spans="1:7" x14ac:dyDescent="0.15">
      <c r="A843" s="19" t="s">
        <v>6767</v>
      </c>
      <c r="B843" s="25" t="s">
        <v>6829</v>
      </c>
      <c r="C843" s="22"/>
      <c r="D843" s="26" t="str">
        <f t="shared" si="40"/>
        <v>https://kokusho.nijl.ac.jp/biblio/100232367/45</v>
      </c>
      <c r="E843" s="22"/>
      <c r="F843" s="22"/>
      <c r="G843" s="22"/>
    </row>
    <row r="844" spans="1:7" x14ac:dyDescent="0.15">
      <c r="A844" s="19" t="s">
        <v>6767</v>
      </c>
      <c r="B844" s="25" t="s">
        <v>5613</v>
      </c>
      <c r="C844" s="22"/>
      <c r="D844" s="26" t="str">
        <f t="shared" si="40"/>
        <v>https://kokusho.nijl.ac.jp/biblio/100232367/45</v>
      </c>
      <c r="E844" s="22"/>
      <c r="F844" s="22"/>
      <c r="G844" s="22"/>
    </row>
    <row r="845" spans="1:7" x14ac:dyDescent="0.15">
      <c r="A845" s="19" t="s">
        <v>6767</v>
      </c>
      <c r="B845" s="25" t="s">
        <v>6830</v>
      </c>
      <c r="C845" s="22"/>
      <c r="D845" s="26" t="str">
        <f t="shared" si="40"/>
        <v>https://kokusho.nijl.ac.jp/biblio/100232367/45</v>
      </c>
      <c r="E845" s="22"/>
      <c r="F845" s="22"/>
      <c r="G845" s="22"/>
    </row>
    <row r="846" spans="1:7" x14ac:dyDescent="0.15">
      <c r="A846" s="19" t="s">
        <v>6767</v>
      </c>
      <c r="B846" s="25" t="s">
        <v>6831</v>
      </c>
      <c r="C846" s="22"/>
      <c r="D846" s="26" t="str">
        <f t="shared" si="40"/>
        <v>https://kokusho.nijl.ac.jp/biblio/100232367/45</v>
      </c>
      <c r="E846" s="22"/>
      <c r="F846" s="22"/>
      <c r="G846" s="22"/>
    </row>
    <row r="847" spans="1:7" x14ac:dyDescent="0.15">
      <c r="A847" s="19" t="s">
        <v>6767</v>
      </c>
      <c r="B847" s="25" t="s">
        <v>5609</v>
      </c>
      <c r="C847" s="22"/>
      <c r="D847" s="26" t="str">
        <f t="shared" si="40"/>
        <v>https://kokusho.nijl.ac.jp/biblio/100232367/45</v>
      </c>
      <c r="E847" s="22"/>
      <c r="F847" s="22"/>
      <c r="G847" s="22"/>
    </row>
    <row r="848" spans="1:7" x14ac:dyDescent="0.15">
      <c r="A848" s="19" t="s">
        <v>6767</v>
      </c>
      <c r="B848" s="25" t="s">
        <v>5984</v>
      </c>
      <c r="C848" s="22"/>
      <c r="D848" s="26" t="str">
        <f>HYPERLINK("https://kokusho.nijl.ac.jp/biblio/100232367/46")</f>
        <v>https://kokusho.nijl.ac.jp/biblio/100232367/46</v>
      </c>
      <c r="E848" s="22"/>
      <c r="F848" s="22"/>
      <c r="G848" s="22"/>
    </row>
    <row r="849" spans="1:7" x14ac:dyDescent="0.15">
      <c r="A849" s="19" t="s">
        <v>6767</v>
      </c>
      <c r="B849" s="25" t="s">
        <v>6832</v>
      </c>
      <c r="C849" s="22"/>
      <c r="D849" s="26" t="str">
        <f>HYPERLINK("https://kokusho.nijl.ac.jp/biblio/100232367/46")</f>
        <v>https://kokusho.nijl.ac.jp/biblio/100232367/46</v>
      </c>
      <c r="E849" s="22"/>
      <c r="F849" s="22"/>
      <c r="G849" s="22"/>
    </row>
    <row r="850" spans="1:7" x14ac:dyDescent="0.15">
      <c r="A850" s="19" t="s">
        <v>6767</v>
      </c>
      <c r="B850" s="25" t="s">
        <v>6833</v>
      </c>
      <c r="C850" s="22"/>
      <c r="D850" s="26" t="str">
        <f>HYPERLINK("https://kokusho.nijl.ac.jp/biblio/100232367/47")</f>
        <v>https://kokusho.nijl.ac.jp/biblio/100232367/47</v>
      </c>
      <c r="E850" s="22"/>
      <c r="F850" s="22"/>
      <c r="G850" s="22"/>
    </row>
    <row r="851" spans="1:7" x14ac:dyDescent="0.15">
      <c r="A851" s="19" t="s">
        <v>6767</v>
      </c>
      <c r="B851" s="25" t="s">
        <v>6834</v>
      </c>
      <c r="C851" s="22"/>
      <c r="D851" s="26" t="str">
        <f>HYPERLINK("https://kokusho.nijl.ac.jp/biblio/100232367/47")</f>
        <v>https://kokusho.nijl.ac.jp/biblio/100232367/47</v>
      </c>
      <c r="E851" s="22"/>
      <c r="F851" s="22"/>
      <c r="G851" s="22"/>
    </row>
    <row r="852" spans="1:7" x14ac:dyDescent="0.15">
      <c r="A852" s="19" t="s">
        <v>6767</v>
      </c>
      <c r="B852" s="25" t="s">
        <v>6835</v>
      </c>
      <c r="C852" s="22"/>
      <c r="D852" s="26" t="str">
        <f>HYPERLINK("https://kokusho.nijl.ac.jp/biblio/100232367/47")</f>
        <v>https://kokusho.nijl.ac.jp/biblio/100232367/47</v>
      </c>
      <c r="E852" s="22"/>
      <c r="F852" s="22"/>
      <c r="G852" s="22"/>
    </row>
    <row r="853" spans="1:7" x14ac:dyDescent="0.15">
      <c r="A853" s="19" t="s">
        <v>6767</v>
      </c>
      <c r="B853" s="25" t="s">
        <v>6836</v>
      </c>
      <c r="C853" s="22"/>
      <c r="D853" s="26" t="str">
        <f>HYPERLINK("https://kokusho.nijl.ac.jp/biblio/100232367/47")</f>
        <v>https://kokusho.nijl.ac.jp/biblio/100232367/47</v>
      </c>
      <c r="E853" s="22"/>
      <c r="F853" s="22"/>
      <c r="G853" s="22"/>
    </row>
    <row r="854" spans="1:7" x14ac:dyDescent="0.15">
      <c r="A854" s="19" t="s">
        <v>6767</v>
      </c>
      <c r="B854" s="25" t="s">
        <v>5622</v>
      </c>
      <c r="C854" s="22"/>
      <c r="D854" s="26" t="str">
        <f>HYPERLINK("https://kokusho.nijl.ac.jp/biblio/100232367/47")</f>
        <v>https://kokusho.nijl.ac.jp/biblio/100232367/47</v>
      </c>
      <c r="E854" s="22"/>
      <c r="F854" s="22"/>
      <c r="G854" s="22"/>
    </row>
    <row r="855" spans="1:7" x14ac:dyDescent="0.15">
      <c r="A855" s="19" t="s">
        <v>6767</v>
      </c>
      <c r="B855" s="25" t="s">
        <v>6837</v>
      </c>
      <c r="C855" s="22"/>
      <c r="D855" s="26" t="str">
        <f>HYPERLINK("https://kokusho.nijl.ac.jp/biblio/100232367/48")</f>
        <v>https://kokusho.nijl.ac.jp/biblio/100232367/48</v>
      </c>
      <c r="E855" s="22"/>
      <c r="F855" s="22"/>
      <c r="G855" s="22"/>
    </row>
    <row r="856" spans="1:7" x14ac:dyDescent="0.15">
      <c r="A856" s="19" t="s">
        <v>6767</v>
      </c>
      <c r="B856" s="25" t="s">
        <v>6838</v>
      </c>
      <c r="C856" s="22"/>
      <c r="D856" s="26" t="str">
        <f>HYPERLINK("https://kokusho.nijl.ac.jp/biblio/100232367/48")</f>
        <v>https://kokusho.nijl.ac.jp/biblio/100232367/48</v>
      </c>
      <c r="E856" s="22"/>
      <c r="F856" s="22"/>
      <c r="G856" s="22"/>
    </row>
    <row r="857" spans="1:7" x14ac:dyDescent="0.15">
      <c r="A857" s="19" t="s">
        <v>6767</v>
      </c>
      <c r="B857" s="25" t="s">
        <v>6839</v>
      </c>
      <c r="C857" s="22"/>
      <c r="D857" s="26" t="str">
        <f>HYPERLINK("https://kokusho.nijl.ac.jp/biblio/100232367/48")</f>
        <v>https://kokusho.nijl.ac.jp/biblio/100232367/48</v>
      </c>
      <c r="E857" s="22"/>
      <c r="F857" s="22"/>
      <c r="G857" s="22"/>
    </row>
    <row r="858" spans="1:7" x14ac:dyDescent="0.15">
      <c r="A858" s="19" t="s">
        <v>6767</v>
      </c>
      <c r="B858" s="25" t="s">
        <v>6840</v>
      </c>
      <c r="C858" s="22"/>
      <c r="D858" s="26" t="str">
        <f>HYPERLINK("https://kokusho.nijl.ac.jp/biblio/100232367/48")</f>
        <v>https://kokusho.nijl.ac.jp/biblio/100232367/48</v>
      </c>
      <c r="E858" s="22"/>
      <c r="F858" s="22"/>
      <c r="G858" s="22"/>
    </row>
    <row r="859" spans="1:7" x14ac:dyDescent="0.15">
      <c r="A859" s="19" t="s">
        <v>6767</v>
      </c>
      <c r="B859" s="25" t="s">
        <v>6841</v>
      </c>
      <c r="C859" s="22"/>
      <c r="D859" s="26" t="str">
        <f>HYPERLINK("https://kokusho.nijl.ac.jp/biblio/100232367/49")</f>
        <v>https://kokusho.nijl.ac.jp/biblio/100232367/49</v>
      </c>
      <c r="E859" s="22"/>
      <c r="F859" s="22"/>
      <c r="G859" s="22"/>
    </row>
    <row r="860" spans="1:7" x14ac:dyDescent="0.15">
      <c r="A860" s="19" t="s">
        <v>6767</v>
      </c>
      <c r="B860" s="25" t="s">
        <v>6842</v>
      </c>
      <c r="C860" s="22"/>
      <c r="D860" s="26" t="str">
        <f>HYPERLINK("https://kokusho.nijl.ac.jp/biblio/100232367/49")</f>
        <v>https://kokusho.nijl.ac.jp/biblio/100232367/49</v>
      </c>
      <c r="E860" s="22"/>
      <c r="F860" s="22"/>
      <c r="G860" s="22"/>
    </row>
    <row r="861" spans="1:7" x14ac:dyDescent="0.15">
      <c r="A861" s="19" t="s">
        <v>6767</v>
      </c>
      <c r="B861" s="25" t="s">
        <v>6843</v>
      </c>
      <c r="C861" s="22"/>
      <c r="D861" s="26" t="str">
        <f>HYPERLINK("https://kokusho.nijl.ac.jp/biblio/100232367/49")</f>
        <v>https://kokusho.nijl.ac.jp/biblio/100232367/49</v>
      </c>
      <c r="E861" s="22"/>
      <c r="F861" s="22"/>
      <c r="G861" s="22"/>
    </row>
    <row r="862" spans="1:7" x14ac:dyDescent="0.15">
      <c r="A862" s="19" t="s">
        <v>6767</v>
      </c>
      <c r="B862" s="25" t="s">
        <v>6844</v>
      </c>
      <c r="C862" s="22"/>
      <c r="D862" s="26" t="str">
        <f t="shared" ref="D862:D867" si="41">HYPERLINK("https://kokusho.nijl.ac.jp/biblio/100232367/50")</f>
        <v>https://kokusho.nijl.ac.jp/biblio/100232367/50</v>
      </c>
      <c r="E862" s="22"/>
      <c r="F862" s="22"/>
      <c r="G862" s="22"/>
    </row>
    <row r="863" spans="1:7" x14ac:dyDescent="0.15">
      <c r="A863" s="19" t="s">
        <v>6767</v>
      </c>
      <c r="B863" s="25" t="s">
        <v>6845</v>
      </c>
      <c r="C863" s="22"/>
      <c r="D863" s="26" t="str">
        <f t="shared" si="41"/>
        <v>https://kokusho.nijl.ac.jp/biblio/100232367/50</v>
      </c>
      <c r="E863" s="22"/>
      <c r="F863" s="22"/>
      <c r="G863" s="22"/>
    </row>
    <row r="864" spans="1:7" x14ac:dyDescent="0.15">
      <c r="A864" s="19" t="s">
        <v>6767</v>
      </c>
      <c r="B864" s="25" t="s">
        <v>6846</v>
      </c>
      <c r="C864" s="22"/>
      <c r="D864" s="26" t="str">
        <f t="shared" si="41"/>
        <v>https://kokusho.nijl.ac.jp/biblio/100232367/50</v>
      </c>
      <c r="E864" s="22"/>
      <c r="F864" s="22"/>
      <c r="G864" s="22"/>
    </row>
    <row r="865" spans="1:7" x14ac:dyDescent="0.15">
      <c r="A865" s="19" t="s">
        <v>6767</v>
      </c>
      <c r="B865" s="25" t="s">
        <v>6847</v>
      </c>
      <c r="C865" s="22"/>
      <c r="D865" s="26" t="str">
        <f t="shared" si="41"/>
        <v>https://kokusho.nijl.ac.jp/biblio/100232367/50</v>
      </c>
      <c r="E865" s="22"/>
      <c r="F865" s="22"/>
      <c r="G865" s="22"/>
    </row>
    <row r="866" spans="1:7" x14ac:dyDescent="0.15">
      <c r="A866" s="19" t="s">
        <v>6767</v>
      </c>
      <c r="B866" s="25" t="s">
        <v>6848</v>
      </c>
      <c r="C866" s="22"/>
      <c r="D866" s="26" t="str">
        <f t="shared" si="41"/>
        <v>https://kokusho.nijl.ac.jp/biblio/100232367/50</v>
      </c>
      <c r="E866" s="22"/>
      <c r="F866" s="22"/>
      <c r="G866" s="22"/>
    </row>
    <row r="867" spans="1:7" x14ac:dyDescent="0.15">
      <c r="A867" s="19" t="s">
        <v>6767</v>
      </c>
      <c r="B867" s="25" t="s">
        <v>5690</v>
      </c>
      <c r="C867" s="22"/>
      <c r="D867" s="26" t="str">
        <f t="shared" si="41"/>
        <v>https://kokusho.nijl.ac.jp/biblio/100232367/50</v>
      </c>
      <c r="E867" s="22"/>
      <c r="F867" s="22"/>
      <c r="G867" s="22"/>
    </row>
    <row r="868" spans="1:7" x14ac:dyDescent="0.15">
      <c r="A868" s="19" t="s">
        <v>6767</v>
      </c>
      <c r="B868" s="25" t="s">
        <v>6849</v>
      </c>
      <c r="C868" s="22"/>
      <c r="D868" s="26" t="str">
        <f>HYPERLINK("https://kokusho.nijl.ac.jp/biblio/100232367/51")</f>
        <v>https://kokusho.nijl.ac.jp/biblio/100232367/51</v>
      </c>
      <c r="E868" s="22"/>
      <c r="F868" s="22"/>
      <c r="G868" s="22"/>
    </row>
    <row r="869" spans="1:7" x14ac:dyDescent="0.15">
      <c r="A869" s="19" t="s">
        <v>6767</v>
      </c>
      <c r="B869" s="25" t="s">
        <v>6850</v>
      </c>
      <c r="C869" s="22"/>
      <c r="D869" s="26" t="str">
        <f>HYPERLINK("https://kokusho.nijl.ac.jp/biblio/100232367/51")</f>
        <v>https://kokusho.nijl.ac.jp/biblio/100232367/51</v>
      </c>
      <c r="E869" s="22"/>
      <c r="F869" s="22"/>
      <c r="G869" s="22"/>
    </row>
    <row r="870" spans="1:7" x14ac:dyDescent="0.15">
      <c r="A870" s="19" t="s">
        <v>6767</v>
      </c>
      <c r="B870" s="25" t="s">
        <v>6851</v>
      </c>
      <c r="C870" s="22"/>
      <c r="D870" s="26" t="str">
        <f>HYPERLINK("https://kokusho.nijl.ac.jp/biblio/100232367/51")</f>
        <v>https://kokusho.nijl.ac.jp/biblio/100232367/51</v>
      </c>
      <c r="E870" s="22"/>
      <c r="F870" s="22"/>
      <c r="G870" s="22"/>
    </row>
    <row r="871" spans="1:7" x14ac:dyDescent="0.15">
      <c r="A871" s="19" t="s">
        <v>6767</v>
      </c>
      <c r="B871" s="25" t="s">
        <v>6852</v>
      </c>
      <c r="C871" s="22"/>
      <c r="D871" s="26" t="str">
        <f>HYPERLINK("https://kokusho.nijl.ac.jp/biblio/100232367/51")</f>
        <v>https://kokusho.nijl.ac.jp/biblio/100232367/51</v>
      </c>
      <c r="E871" s="22"/>
      <c r="F871" s="22"/>
      <c r="G871" s="22"/>
    </row>
    <row r="872" spans="1:7" x14ac:dyDescent="0.15">
      <c r="A872" s="19" t="s">
        <v>6767</v>
      </c>
      <c r="B872" s="25" t="s">
        <v>6853</v>
      </c>
      <c r="C872" s="22"/>
      <c r="D872" s="26" t="str">
        <f t="shared" ref="D872:D881" si="42">HYPERLINK("https://kokusho.nijl.ac.jp/biblio/100232367/52")</f>
        <v>https://kokusho.nijl.ac.jp/biblio/100232367/52</v>
      </c>
      <c r="E872" s="22"/>
      <c r="F872" s="22"/>
      <c r="G872" s="22"/>
    </row>
    <row r="873" spans="1:7" x14ac:dyDescent="0.15">
      <c r="A873" s="19" t="s">
        <v>6767</v>
      </c>
      <c r="B873" s="25" t="s">
        <v>6854</v>
      </c>
      <c r="C873" s="22"/>
      <c r="D873" s="26" t="str">
        <f t="shared" si="42"/>
        <v>https://kokusho.nijl.ac.jp/biblio/100232367/52</v>
      </c>
      <c r="E873" s="22"/>
      <c r="F873" s="22"/>
      <c r="G873" s="22"/>
    </row>
    <row r="874" spans="1:7" x14ac:dyDescent="0.15">
      <c r="A874" s="19" t="s">
        <v>6767</v>
      </c>
      <c r="B874" s="25" t="s">
        <v>6855</v>
      </c>
      <c r="C874" s="22"/>
      <c r="D874" s="26" t="str">
        <f t="shared" si="42"/>
        <v>https://kokusho.nijl.ac.jp/biblio/100232367/52</v>
      </c>
      <c r="E874" s="22"/>
      <c r="F874" s="22"/>
      <c r="G874" s="22"/>
    </row>
    <row r="875" spans="1:7" x14ac:dyDescent="0.15">
      <c r="A875" s="19" t="s">
        <v>6767</v>
      </c>
      <c r="B875" s="25" t="s">
        <v>6856</v>
      </c>
      <c r="C875" s="22"/>
      <c r="D875" s="26" t="str">
        <f t="shared" si="42"/>
        <v>https://kokusho.nijl.ac.jp/biblio/100232367/52</v>
      </c>
      <c r="E875" s="22"/>
      <c r="F875" s="22"/>
      <c r="G875" s="22"/>
    </row>
    <row r="876" spans="1:7" x14ac:dyDescent="0.15">
      <c r="A876" s="19" t="s">
        <v>6767</v>
      </c>
      <c r="B876" s="25" t="s">
        <v>6857</v>
      </c>
      <c r="C876" s="22"/>
      <c r="D876" s="26" t="str">
        <f t="shared" si="42"/>
        <v>https://kokusho.nijl.ac.jp/biblio/100232367/52</v>
      </c>
      <c r="E876" s="22"/>
      <c r="F876" s="22"/>
      <c r="G876" s="22"/>
    </row>
    <row r="877" spans="1:7" x14ac:dyDescent="0.15">
      <c r="A877" s="19" t="s">
        <v>6767</v>
      </c>
      <c r="B877" s="25" t="s">
        <v>6858</v>
      </c>
      <c r="C877" s="22"/>
      <c r="D877" s="26" t="str">
        <f t="shared" si="42"/>
        <v>https://kokusho.nijl.ac.jp/biblio/100232367/52</v>
      </c>
      <c r="E877" s="22"/>
      <c r="F877" s="22"/>
      <c r="G877" s="22"/>
    </row>
    <row r="878" spans="1:7" x14ac:dyDescent="0.15">
      <c r="A878" s="19" t="s">
        <v>6767</v>
      </c>
      <c r="B878" s="25" t="s">
        <v>6859</v>
      </c>
      <c r="C878" s="22"/>
      <c r="D878" s="26" t="str">
        <f t="shared" si="42"/>
        <v>https://kokusho.nijl.ac.jp/biblio/100232367/52</v>
      </c>
      <c r="E878" s="22"/>
      <c r="F878" s="22"/>
      <c r="G878" s="22"/>
    </row>
    <row r="879" spans="1:7" x14ac:dyDescent="0.15">
      <c r="A879" s="19" t="s">
        <v>6767</v>
      </c>
      <c r="B879" s="25" t="s">
        <v>6860</v>
      </c>
      <c r="C879" s="22"/>
      <c r="D879" s="26" t="str">
        <f t="shared" si="42"/>
        <v>https://kokusho.nijl.ac.jp/biblio/100232367/52</v>
      </c>
      <c r="E879" s="22"/>
      <c r="F879" s="22"/>
      <c r="G879" s="22"/>
    </row>
    <row r="880" spans="1:7" x14ac:dyDescent="0.15">
      <c r="A880" s="19" t="s">
        <v>6767</v>
      </c>
      <c r="B880" s="25" t="s">
        <v>6861</v>
      </c>
      <c r="C880" s="22"/>
      <c r="D880" s="26" t="str">
        <f t="shared" si="42"/>
        <v>https://kokusho.nijl.ac.jp/biblio/100232367/52</v>
      </c>
      <c r="E880" s="22"/>
      <c r="F880" s="22"/>
      <c r="G880" s="22"/>
    </row>
    <row r="881" spans="1:7" x14ac:dyDescent="0.15">
      <c r="A881" s="19" t="s">
        <v>6767</v>
      </c>
      <c r="B881" s="25" t="s">
        <v>6862</v>
      </c>
      <c r="C881" s="22"/>
      <c r="D881" s="26" t="str">
        <f t="shared" si="42"/>
        <v>https://kokusho.nijl.ac.jp/biblio/100232367/52</v>
      </c>
      <c r="E881" s="22"/>
      <c r="F881" s="22"/>
      <c r="G881" s="22"/>
    </row>
    <row r="882" spans="1:7" x14ac:dyDescent="0.15">
      <c r="A882" s="19" t="s">
        <v>6767</v>
      </c>
      <c r="B882" s="25" t="s">
        <v>5686</v>
      </c>
      <c r="C882" s="22"/>
      <c r="D882" s="26" t="str">
        <f t="shared" ref="D882:D889" si="43">HYPERLINK("https://kokusho.nijl.ac.jp/biblio/100232367/53")</f>
        <v>https://kokusho.nijl.ac.jp/biblio/100232367/53</v>
      </c>
      <c r="E882" s="22"/>
      <c r="F882" s="22"/>
      <c r="G882" s="22"/>
    </row>
    <row r="883" spans="1:7" x14ac:dyDescent="0.15">
      <c r="A883" s="19" t="s">
        <v>6767</v>
      </c>
      <c r="B883" s="25" t="s">
        <v>6863</v>
      </c>
      <c r="C883" s="22"/>
      <c r="D883" s="26" t="str">
        <f t="shared" si="43"/>
        <v>https://kokusho.nijl.ac.jp/biblio/100232367/53</v>
      </c>
      <c r="E883" s="22"/>
      <c r="F883" s="22"/>
      <c r="G883" s="22"/>
    </row>
    <row r="884" spans="1:7" x14ac:dyDescent="0.15">
      <c r="A884" s="19" t="s">
        <v>6767</v>
      </c>
      <c r="B884" s="25" t="s">
        <v>6864</v>
      </c>
      <c r="C884" s="22"/>
      <c r="D884" s="26" t="str">
        <f t="shared" si="43"/>
        <v>https://kokusho.nijl.ac.jp/biblio/100232367/53</v>
      </c>
      <c r="E884" s="22"/>
      <c r="F884" s="22"/>
      <c r="G884" s="22"/>
    </row>
    <row r="885" spans="1:7" x14ac:dyDescent="0.15">
      <c r="A885" s="19" t="s">
        <v>6767</v>
      </c>
      <c r="B885" s="25" t="s">
        <v>6865</v>
      </c>
      <c r="C885" s="22"/>
      <c r="D885" s="26" t="str">
        <f t="shared" si="43"/>
        <v>https://kokusho.nijl.ac.jp/biblio/100232367/53</v>
      </c>
      <c r="E885" s="22"/>
      <c r="F885" s="22"/>
      <c r="G885" s="22"/>
    </row>
    <row r="886" spans="1:7" x14ac:dyDescent="0.15">
      <c r="A886" s="19" t="s">
        <v>6767</v>
      </c>
      <c r="B886" s="25" t="s">
        <v>6866</v>
      </c>
      <c r="C886" s="22"/>
      <c r="D886" s="26" t="str">
        <f t="shared" si="43"/>
        <v>https://kokusho.nijl.ac.jp/biblio/100232367/53</v>
      </c>
      <c r="E886" s="22"/>
      <c r="F886" s="22"/>
      <c r="G886" s="22"/>
    </row>
    <row r="887" spans="1:7" x14ac:dyDescent="0.15">
      <c r="A887" s="19" t="s">
        <v>6767</v>
      </c>
      <c r="B887" s="25" t="s">
        <v>5702</v>
      </c>
      <c r="C887" s="22"/>
      <c r="D887" s="26" t="str">
        <f t="shared" si="43"/>
        <v>https://kokusho.nijl.ac.jp/biblio/100232367/53</v>
      </c>
      <c r="E887" s="22"/>
      <c r="F887" s="22"/>
      <c r="G887" s="22"/>
    </row>
    <row r="888" spans="1:7" x14ac:dyDescent="0.15">
      <c r="A888" s="19" t="s">
        <v>6767</v>
      </c>
      <c r="B888" s="25" t="s">
        <v>6867</v>
      </c>
      <c r="C888" s="22"/>
      <c r="D888" s="26" t="str">
        <f t="shared" si="43"/>
        <v>https://kokusho.nijl.ac.jp/biblio/100232367/53</v>
      </c>
      <c r="E888" s="22"/>
      <c r="F888" s="22"/>
      <c r="G888" s="22"/>
    </row>
    <row r="889" spans="1:7" x14ac:dyDescent="0.15">
      <c r="A889" s="19" t="s">
        <v>6767</v>
      </c>
      <c r="B889" s="25" t="s">
        <v>6868</v>
      </c>
      <c r="C889" s="22"/>
      <c r="D889" s="26" t="str">
        <f t="shared" si="43"/>
        <v>https://kokusho.nijl.ac.jp/biblio/100232367/53</v>
      </c>
      <c r="E889" s="22"/>
      <c r="F889" s="22"/>
      <c r="G889" s="22"/>
    </row>
    <row r="890" spans="1:7" x14ac:dyDescent="0.15">
      <c r="A890" s="19" t="s">
        <v>6767</v>
      </c>
      <c r="B890" s="25" t="s">
        <v>6869</v>
      </c>
      <c r="C890" s="22"/>
      <c r="D890" s="26" t="str">
        <f t="shared" ref="D890:D895" si="44">HYPERLINK("https://kokusho.nijl.ac.jp/biblio/100232367/54")</f>
        <v>https://kokusho.nijl.ac.jp/biblio/100232367/54</v>
      </c>
      <c r="E890" s="22"/>
      <c r="F890" s="22"/>
      <c r="G890" s="22"/>
    </row>
    <row r="891" spans="1:7" x14ac:dyDescent="0.15">
      <c r="A891" s="19" t="s">
        <v>6767</v>
      </c>
      <c r="B891" s="25" t="s">
        <v>6870</v>
      </c>
      <c r="C891" s="22"/>
      <c r="D891" s="26" t="str">
        <f t="shared" si="44"/>
        <v>https://kokusho.nijl.ac.jp/biblio/100232367/54</v>
      </c>
      <c r="E891" s="22"/>
      <c r="F891" s="22"/>
      <c r="G891" s="22"/>
    </row>
    <row r="892" spans="1:7" x14ac:dyDescent="0.15">
      <c r="A892" s="19" t="s">
        <v>6767</v>
      </c>
      <c r="B892" s="25" t="s">
        <v>6871</v>
      </c>
      <c r="C892" s="22"/>
      <c r="D892" s="26" t="str">
        <f t="shared" si="44"/>
        <v>https://kokusho.nijl.ac.jp/biblio/100232367/54</v>
      </c>
      <c r="E892" s="22"/>
      <c r="F892" s="22"/>
      <c r="G892" s="22"/>
    </row>
    <row r="893" spans="1:7" x14ac:dyDescent="0.15">
      <c r="A893" s="19" t="s">
        <v>6767</v>
      </c>
      <c r="B893" s="25" t="s">
        <v>6872</v>
      </c>
      <c r="C893" s="22"/>
      <c r="D893" s="26" t="str">
        <f t="shared" si="44"/>
        <v>https://kokusho.nijl.ac.jp/biblio/100232367/54</v>
      </c>
      <c r="E893" s="22"/>
      <c r="F893" s="22"/>
      <c r="G893" s="22"/>
    </row>
    <row r="894" spans="1:7" ht="40.5" x14ac:dyDescent="0.15">
      <c r="A894" s="19" t="s">
        <v>6767</v>
      </c>
      <c r="B894" s="25" t="s">
        <v>6873</v>
      </c>
      <c r="C894" s="22"/>
      <c r="D894" s="26" t="str">
        <f t="shared" si="44"/>
        <v>https://kokusho.nijl.ac.jp/biblio/100232367/54</v>
      </c>
      <c r="E894" s="22"/>
      <c r="F894" s="22"/>
      <c r="G894" s="22"/>
    </row>
    <row r="895" spans="1:7" x14ac:dyDescent="0.15">
      <c r="A895" s="19" t="s">
        <v>6767</v>
      </c>
      <c r="B895" s="25" t="s">
        <v>6874</v>
      </c>
      <c r="C895" s="22"/>
      <c r="D895" s="26" t="str">
        <f t="shared" si="44"/>
        <v>https://kokusho.nijl.ac.jp/biblio/100232367/54</v>
      </c>
      <c r="E895" s="22"/>
      <c r="F895" s="22"/>
      <c r="G895" s="22"/>
    </row>
    <row r="896" spans="1:7" x14ac:dyDescent="0.15">
      <c r="A896" s="19" t="s">
        <v>6767</v>
      </c>
      <c r="B896" s="25" t="s">
        <v>6875</v>
      </c>
      <c r="C896" s="22"/>
      <c r="D896" s="26" t="str">
        <f>HYPERLINK("https://kokusho.nijl.ac.jp/biblio/100232367/55")</f>
        <v>https://kokusho.nijl.ac.jp/biblio/100232367/55</v>
      </c>
      <c r="E896" s="22"/>
      <c r="F896" s="22"/>
      <c r="G896" s="22"/>
    </row>
    <row r="897" spans="1:7" x14ac:dyDescent="0.15">
      <c r="A897" s="19" t="s">
        <v>6767</v>
      </c>
      <c r="B897" s="25" t="s">
        <v>6876</v>
      </c>
      <c r="C897" s="22"/>
      <c r="D897" s="26" t="str">
        <f>HYPERLINK("https://kokusho.nijl.ac.jp/biblio/100232367/55")</f>
        <v>https://kokusho.nijl.ac.jp/biblio/100232367/55</v>
      </c>
      <c r="E897" s="22"/>
      <c r="F897" s="22"/>
      <c r="G897" s="22"/>
    </row>
    <row r="898" spans="1:7" x14ac:dyDescent="0.15">
      <c r="A898" s="19" t="s">
        <v>6767</v>
      </c>
      <c r="B898" s="25" t="s">
        <v>6877</v>
      </c>
      <c r="C898" s="22"/>
      <c r="D898" s="26" t="str">
        <f>HYPERLINK("https://kokusho.nijl.ac.jp/biblio/100232367/56")</f>
        <v>https://kokusho.nijl.ac.jp/biblio/100232367/56</v>
      </c>
      <c r="E898" s="22"/>
      <c r="F898" s="22"/>
      <c r="G898" s="22"/>
    </row>
    <row r="899" spans="1:7" x14ac:dyDescent="0.15">
      <c r="A899" s="19" t="s">
        <v>6767</v>
      </c>
      <c r="B899" s="25" t="s">
        <v>6878</v>
      </c>
      <c r="C899" s="22"/>
      <c r="D899" s="26" t="str">
        <f>HYPERLINK("https://kokusho.nijl.ac.jp/biblio/100232367/56")</f>
        <v>https://kokusho.nijl.ac.jp/biblio/100232367/56</v>
      </c>
      <c r="E899" s="22"/>
      <c r="F899" s="22"/>
      <c r="G899" s="22"/>
    </row>
    <row r="900" spans="1:7" x14ac:dyDescent="0.15">
      <c r="A900" s="19" t="s">
        <v>6767</v>
      </c>
      <c r="B900" s="25" t="s">
        <v>6879</v>
      </c>
      <c r="C900" s="22"/>
      <c r="D900" s="26" t="str">
        <f>HYPERLINK("https://kokusho.nijl.ac.jp/biblio/100232367/56")</f>
        <v>https://kokusho.nijl.ac.jp/biblio/100232367/56</v>
      </c>
      <c r="E900" s="22"/>
      <c r="F900" s="22"/>
      <c r="G900" s="22"/>
    </row>
    <row r="901" spans="1:7" x14ac:dyDescent="0.15">
      <c r="A901" s="19" t="s">
        <v>6767</v>
      </c>
      <c r="B901" s="25" t="s">
        <v>6880</v>
      </c>
      <c r="C901" s="22"/>
      <c r="D901" s="26" t="str">
        <f>HYPERLINK("https://kokusho.nijl.ac.jp/biblio/100232367/56")</f>
        <v>https://kokusho.nijl.ac.jp/biblio/100232367/56</v>
      </c>
      <c r="E901" s="22"/>
      <c r="F901" s="22"/>
      <c r="G901" s="22"/>
    </row>
    <row r="902" spans="1:7" x14ac:dyDescent="0.15">
      <c r="A902" s="19" t="s">
        <v>6767</v>
      </c>
      <c r="B902" s="25" t="s">
        <v>6881</v>
      </c>
      <c r="C902" s="22"/>
      <c r="D902" s="26" t="str">
        <f t="shared" ref="D902:D907" si="45">HYPERLINK("https://kokusho.nijl.ac.jp/biblio/100232367/57")</f>
        <v>https://kokusho.nijl.ac.jp/biblio/100232367/57</v>
      </c>
      <c r="E902" s="22"/>
      <c r="F902" s="22"/>
      <c r="G902" s="22"/>
    </row>
    <row r="903" spans="1:7" x14ac:dyDescent="0.15">
      <c r="A903" s="19" t="s">
        <v>6767</v>
      </c>
      <c r="B903" s="25" t="s">
        <v>6882</v>
      </c>
      <c r="C903" s="22"/>
      <c r="D903" s="26" t="str">
        <f t="shared" si="45"/>
        <v>https://kokusho.nijl.ac.jp/biblio/100232367/57</v>
      </c>
      <c r="E903" s="22"/>
      <c r="F903" s="22"/>
      <c r="G903" s="22"/>
    </row>
    <row r="904" spans="1:7" x14ac:dyDescent="0.15">
      <c r="A904" s="19" t="s">
        <v>6767</v>
      </c>
      <c r="B904" s="25" t="s">
        <v>6883</v>
      </c>
      <c r="C904" s="22"/>
      <c r="D904" s="26" t="str">
        <f t="shared" si="45"/>
        <v>https://kokusho.nijl.ac.jp/biblio/100232367/57</v>
      </c>
      <c r="E904" s="22"/>
      <c r="F904" s="22"/>
      <c r="G904" s="22"/>
    </row>
    <row r="905" spans="1:7" x14ac:dyDescent="0.15">
      <c r="A905" s="19" t="s">
        <v>6767</v>
      </c>
      <c r="B905" s="25" t="s">
        <v>6884</v>
      </c>
      <c r="C905" s="22"/>
      <c r="D905" s="26" t="str">
        <f t="shared" si="45"/>
        <v>https://kokusho.nijl.ac.jp/biblio/100232367/57</v>
      </c>
      <c r="E905" s="22"/>
      <c r="F905" s="22"/>
      <c r="G905" s="22"/>
    </row>
    <row r="906" spans="1:7" x14ac:dyDescent="0.15">
      <c r="A906" s="19" t="s">
        <v>6767</v>
      </c>
      <c r="B906" s="25" t="s">
        <v>6885</v>
      </c>
      <c r="C906" s="22"/>
      <c r="D906" s="26" t="str">
        <f t="shared" si="45"/>
        <v>https://kokusho.nijl.ac.jp/biblio/100232367/57</v>
      </c>
      <c r="E906" s="22"/>
      <c r="F906" s="22"/>
      <c r="G906" s="22"/>
    </row>
    <row r="907" spans="1:7" x14ac:dyDescent="0.15">
      <c r="A907" s="19" t="s">
        <v>6767</v>
      </c>
      <c r="B907" s="25" t="s">
        <v>6886</v>
      </c>
      <c r="C907" s="22"/>
      <c r="D907" s="26" t="str">
        <f t="shared" si="45"/>
        <v>https://kokusho.nijl.ac.jp/biblio/100232367/57</v>
      </c>
      <c r="E907" s="22"/>
      <c r="F907" s="22"/>
      <c r="G907" s="22"/>
    </row>
    <row r="908" spans="1:7" x14ac:dyDescent="0.15">
      <c r="A908" s="19" t="s">
        <v>6767</v>
      </c>
      <c r="B908" s="25" t="s">
        <v>6887</v>
      </c>
      <c r="C908" s="22"/>
      <c r="D908" s="26" t="str">
        <f>HYPERLINK("https://kokusho.nijl.ac.jp/biblio/100232367/58")</f>
        <v>https://kokusho.nijl.ac.jp/biblio/100232367/58</v>
      </c>
      <c r="E908" s="22"/>
      <c r="F908" s="22"/>
      <c r="G908" s="22"/>
    </row>
    <row r="909" spans="1:7" x14ac:dyDescent="0.15">
      <c r="A909" s="19" t="s">
        <v>6767</v>
      </c>
      <c r="B909" s="25" t="s">
        <v>6888</v>
      </c>
      <c r="C909" s="22"/>
      <c r="D909" s="26" t="str">
        <f>HYPERLINK("https://kokusho.nijl.ac.jp/biblio/100232367/58")</f>
        <v>https://kokusho.nijl.ac.jp/biblio/100232367/58</v>
      </c>
      <c r="E909" s="22"/>
      <c r="F909" s="22"/>
      <c r="G909" s="22"/>
    </row>
    <row r="910" spans="1:7" x14ac:dyDescent="0.15">
      <c r="A910" s="19" t="s">
        <v>6767</v>
      </c>
      <c r="B910" s="25" t="s">
        <v>6889</v>
      </c>
      <c r="C910" s="22"/>
      <c r="D910" s="26" t="str">
        <f>HYPERLINK("https://kokusho.nijl.ac.jp/biblio/100232367/58")</f>
        <v>https://kokusho.nijl.ac.jp/biblio/100232367/58</v>
      </c>
      <c r="E910" s="22"/>
      <c r="F910" s="22"/>
      <c r="G910" s="22"/>
    </row>
    <row r="911" spans="1:7" x14ac:dyDescent="0.15">
      <c r="A911" s="19" t="s">
        <v>6767</v>
      </c>
      <c r="B911" s="25" t="s">
        <v>6890</v>
      </c>
      <c r="C911" s="22"/>
      <c r="D911" s="26" t="str">
        <f>HYPERLINK("https://kokusho.nijl.ac.jp/biblio/100232367/58")</f>
        <v>https://kokusho.nijl.ac.jp/biblio/100232367/58</v>
      </c>
      <c r="E911" s="22"/>
      <c r="F911" s="22"/>
      <c r="G911" s="22"/>
    </row>
    <row r="912" spans="1:7" x14ac:dyDescent="0.15">
      <c r="A912" s="19" t="s">
        <v>6767</v>
      </c>
      <c r="B912" s="25" t="s">
        <v>6891</v>
      </c>
      <c r="C912" s="22"/>
      <c r="D912" s="26" t="str">
        <f>HYPERLINK("https://kokusho.nijl.ac.jp/biblio/100232367/58")</f>
        <v>https://kokusho.nijl.ac.jp/biblio/100232367/58</v>
      </c>
      <c r="E912" s="22"/>
      <c r="F912" s="22"/>
      <c r="G912" s="22"/>
    </row>
    <row r="913" spans="1:7" x14ac:dyDescent="0.15">
      <c r="A913" s="19" t="s">
        <v>6767</v>
      </c>
      <c r="B913" s="25" t="s">
        <v>6373</v>
      </c>
      <c r="C913" s="22"/>
      <c r="D913" s="26" t="str">
        <f>HYPERLINK("https://kokusho.nijl.ac.jp/biblio/100232367/59")</f>
        <v>https://kokusho.nijl.ac.jp/biblio/100232367/59</v>
      </c>
      <c r="E913" s="22"/>
      <c r="F913" s="22"/>
      <c r="G913" s="22"/>
    </row>
    <row r="914" spans="1:7" x14ac:dyDescent="0.15">
      <c r="A914" s="19" t="s">
        <v>6767</v>
      </c>
      <c r="B914" s="25" t="s">
        <v>6892</v>
      </c>
      <c r="C914" s="22"/>
      <c r="D914" s="26" t="str">
        <f>HYPERLINK("https://kokusho.nijl.ac.jp/biblio/100232367/59")</f>
        <v>https://kokusho.nijl.ac.jp/biblio/100232367/59</v>
      </c>
      <c r="E914" s="22"/>
      <c r="F914" s="22"/>
      <c r="G914" s="22"/>
    </row>
    <row r="915" spans="1:7" x14ac:dyDescent="0.15">
      <c r="A915" s="19" t="s">
        <v>6767</v>
      </c>
      <c r="B915" s="25" t="s">
        <v>6893</v>
      </c>
      <c r="C915" s="22"/>
      <c r="D915" s="26" t="str">
        <f>HYPERLINK("https://kokusho.nijl.ac.jp/biblio/100232367/59")</f>
        <v>https://kokusho.nijl.ac.jp/biblio/100232367/59</v>
      </c>
      <c r="E915" s="22"/>
      <c r="F915" s="22"/>
      <c r="G915" s="22"/>
    </row>
    <row r="916" spans="1:7" x14ac:dyDescent="0.15">
      <c r="A916" s="19" t="s">
        <v>6767</v>
      </c>
      <c r="B916" s="25" t="s">
        <v>6353</v>
      </c>
      <c r="C916" s="22"/>
      <c r="D916" s="26" t="str">
        <f>HYPERLINK("https://kokusho.nijl.ac.jp/biblio/100232367/59")</f>
        <v>https://kokusho.nijl.ac.jp/biblio/100232367/59</v>
      </c>
      <c r="E916" s="22"/>
      <c r="F916" s="22"/>
      <c r="G916" s="22"/>
    </row>
    <row r="917" spans="1:7" x14ac:dyDescent="0.15">
      <c r="A917" s="19" t="s">
        <v>6767</v>
      </c>
      <c r="B917" s="25" t="s">
        <v>6894</v>
      </c>
      <c r="C917" s="22"/>
      <c r="D917" s="26" t="str">
        <f>HYPERLINK("https://kokusho.nijl.ac.jp/biblio/100232367/60")</f>
        <v>https://kokusho.nijl.ac.jp/biblio/100232367/60</v>
      </c>
      <c r="E917" s="22"/>
      <c r="F917" s="22"/>
      <c r="G917" s="22"/>
    </row>
    <row r="918" spans="1:7" x14ac:dyDescent="0.15">
      <c r="A918" s="19" t="s">
        <v>6767</v>
      </c>
      <c r="B918" s="25" t="s">
        <v>6406</v>
      </c>
      <c r="C918" s="22"/>
      <c r="D918" s="26" t="str">
        <f>HYPERLINK("https://kokusho.nijl.ac.jp/biblio/100232367/60")</f>
        <v>https://kokusho.nijl.ac.jp/biblio/100232367/60</v>
      </c>
      <c r="E918" s="22"/>
      <c r="F918" s="22"/>
      <c r="G918" s="22"/>
    </row>
    <row r="919" spans="1:7" x14ac:dyDescent="0.15">
      <c r="A919" s="19" t="s">
        <v>6767</v>
      </c>
      <c r="B919" s="25" t="s">
        <v>6895</v>
      </c>
      <c r="C919" s="22"/>
      <c r="D919" s="26" t="str">
        <f>HYPERLINK("https://kokusho.nijl.ac.jp/biblio/100232367/60")</f>
        <v>https://kokusho.nijl.ac.jp/biblio/100232367/60</v>
      </c>
      <c r="E919" s="22"/>
      <c r="F919" s="22"/>
      <c r="G919" s="22"/>
    </row>
    <row r="920" spans="1:7" x14ac:dyDescent="0.15">
      <c r="A920" s="19" t="s">
        <v>6767</v>
      </c>
      <c r="B920" s="25" t="s">
        <v>6896</v>
      </c>
      <c r="C920" s="22"/>
      <c r="D920" s="26" t="str">
        <f t="shared" ref="D920:D928" si="46">HYPERLINK("https://kokusho.nijl.ac.jp/biblio/100232367/61")</f>
        <v>https://kokusho.nijl.ac.jp/biblio/100232367/61</v>
      </c>
      <c r="E920" s="22"/>
      <c r="F920" s="22"/>
      <c r="G920" s="22"/>
    </row>
    <row r="921" spans="1:7" x14ac:dyDescent="0.15">
      <c r="A921" s="19" t="s">
        <v>6767</v>
      </c>
      <c r="B921" s="25" t="s">
        <v>6897</v>
      </c>
      <c r="C921" s="22"/>
      <c r="D921" s="26" t="str">
        <f t="shared" si="46"/>
        <v>https://kokusho.nijl.ac.jp/biblio/100232367/61</v>
      </c>
      <c r="E921" s="22"/>
      <c r="F921" s="22"/>
      <c r="G921" s="22"/>
    </row>
    <row r="922" spans="1:7" x14ac:dyDescent="0.15">
      <c r="A922" s="19" t="s">
        <v>6767</v>
      </c>
      <c r="B922" s="25" t="s">
        <v>6388</v>
      </c>
      <c r="C922" s="22"/>
      <c r="D922" s="26" t="str">
        <f t="shared" si="46"/>
        <v>https://kokusho.nijl.ac.jp/biblio/100232367/61</v>
      </c>
      <c r="E922" s="22"/>
      <c r="F922" s="22"/>
      <c r="G922" s="22"/>
    </row>
    <row r="923" spans="1:7" x14ac:dyDescent="0.15">
      <c r="A923" s="19" t="s">
        <v>6767</v>
      </c>
      <c r="B923" s="25" t="s">
        <v>6898</v>
      </c>
      <c r="C923" s="22"/>
      <c r="D923" s="26" t="str">
        <f t="shared" si="46"/>
        <v>https://kokusho.nijl.ac.jp/biblio/100232367/61</v>
      </c>
      <c r="E923" s="22"/>
      <c r="F923" s="22"/>
      <c r="G923" s="22"/>
    </row>
    <row r="924" spans="1:7" x14ac:dyDescent="0.15">
      <c r="A924" s="19" t="s">
        <v>6767</v>
      </c>
      <c r="B924" s="25" t="s">
        <v>6899</v>
      </c>
      <c r="C924" s="22"/>
      <c r="D924" s="26" t="str">
        <f t="shared" si="46"/>
        <v>https://kokusho.nijl.ac.jp/biblio/100232367/61</v>
      </c>
      <c r="E924" s="22"/>
      <c r="F924" s="22"/>
      <c r="G924" s="22"/>
    </row>
    <row r="925" spans="1:7" x14ac:dyDescent="0.15">
      <c r="A925" s="19" t="s">
        <v>6767</v>
      </c>
      <c r="B925" s="25" t="s">
        <v>6900</v>
      </c>
      <c r="C925" s="22"/>
      <c r="D925" s="26" t="str">
        <f t="shared" si="46"/>
        <v>https://kokusho.nijl.ac.jp/biblio/100232367/61</v>
      </c>
      <c r="E925" s="22"/>
      <c r="F925" s="22"/>
      <c r="G925" s="22"/>
    </row>
    <row r="926" spans="1:7" x14ac:dyDescent="0.15">
      <c r="A926" s="19" t="s">
        <v>6767</v>
      </c>
      <c r="B926" s="25" t="s">
        <v>6901</v>
      </c>
      <c r="C926" s="22"/>
      <c r="D926" s="26" t="str">
        <f t="shared" si="46"/>
        <v>https://kokusho.nijl.ac.jp/biblio/100232367/61</v>
      </c>
      <c r="E926" s="22"/>
      <c r="F926" s="22"/>
      <c r="G926" s="22"/>
    </row>
    <row r="927" spans="1:7" x14ac:dyDescent="0.15">
      <c r="A927" s="19" t="s">
        <v>6767</v>
      </c>
      <c r="B927" s="25" t="s">
        <v>6410</v>
      </c>
      <c r="C927" s="22"/>
      <c r="D927" s="26" t="str">
        <f t="shared" si="46"/>
        <v>https://kokusho.nijl.ac.jp/biblio/100232367/61</v>
      </c>
      <c r="E927" s="22"/>
      <c r="F927" s="22"/>
      <c r="G927" s="22"/>
    </row>
    <row r="928" spans="1:7" x14ac:dyDescent="0.15">
      <c r="A928" s="19" t="s">
        <v>6767</v>
      </c>
      <c r="B928" s="25" t="s">
        <v>6902</v>
      </c>
      <c r="C928" s="22"/>
      <c r="D928" s="26" t="str">
        <f t="shared" si="46"/>
        <v>https://kokusho.nijl.ac.jp/biblio/100232367/61</v>
      </c>
      <c r="E928" s="22"/>
      <c r="F928" s="22"/>
      <c r="G928" s="22"/>
    </row>
    <row r="929" spans="1:7" x14ac:dyDescent="0.15">
      <c r="A929" s="19" t="s">
        <v>6767</v>
      </c>
      <c r="B929" s="25" t="s">
        <v>6903</v>
      </c>
      <c r="C929" s="22"/>
      <c r="D929" s="26" t="str">
        <f t="shared" ref="D929:D938" si="47">HYPERLINK("https://kokusho.nijl.ac.jp/biblio/100232367/62")</f>
        <v>https://kokusho.nijl.ac.jp/biblio/100232367/62</v>
      </c>
      <c r="E929" s="22"/>
      <c r="F929" s="22"/>
      <c r="G929" s="22"/>
    </row>
    <row r="930" spans="1:7" x14ac:dyDescent="0.15">
      <c r="A930" s="19" t="s">
        <v>6767</v>
      </c>
      <c r="B930" s="25" t="s">
        <v>6904</v>
      </c>
      <c r="C930" s="22"/>
      <c r="D930" s="26" t="str">
        <f t="shared" si="47"/>
        <v>https://kokusho.nijl.ac.jp/biblio/100232367/62</v>
      </c>
      <c r="E930" s="22"/>
      <c r="F930" s="22"/>
      <c r="G930" s="22"/>
    </row>
    <row r="931" spans="1:7" x14ac:dyDescent="0.15">
      <c r="A931" s="19" t="s">
        <v>6767</v>
      </c>
      <c r="B931" s="25" t="s">
        <v>6905</v>
      </c>
      <c r="C931" s="22"/>
      <c r="D931" s="26" t="str">
        <f t="shared" si="47"/>
        <v>https://kokusho.nijl.ac.jp/biblio/100232367/62</v>
      </c>
      <c r="E931" s="22"/>
      <c r="F931" s="22"/>
      <c r="G931" s="22"/>
    </row>
    <row r="932" spans="1:7" x14ac:dyDescent="0.15">
      <c r="A932" s="19" t="s">
        <v>6767</v>
      </c>
      <c r="B932" s="25" t="s">
        <v>6906</v>
      </c>
      <c r="C932" s="22"/>
      <c r="D932" s="26" t="str">
        <f t="shared" si="47"/>
        <v>https://kokusho.nijl.ac.jp/biblio/100232367/62</v>
      </c>
      <c r="E932" s="22"/>
      <c r="F932" s="22"/>
      <c r="G932" s="22"/>
    </row>
    <row r="933" spans="1:7" x14ac:dyDescent="0.15">
      <c r="A933" s="19" t="s">
        <v>6767</v>
      </c>
      <c r="B933" s="25" t="s">
        <v>6381</v>
      </c>
      <c r="C933" s="22"/>
      <c r="D933" s="26" t="str">
        <f t="shared" si="47"/>
        <v>https://kokusho.nijl.ac.jp/biblio/100232367/62</v>
      </c>
      <c r="E933" s="22"/>
      <c r="F933" s="22"/>
      <c r="G933" s="22"/>
    </row>
    <row r="934" spans="1:7" x14ac:dyDescent="0.15">
      <c r="A934" s="19" t="s">
        <v>6767</v>
      </c>
      <c r="B934" s="25" t="s">
        <v>6907</v>
      </c>
      <c r="C934" s="22"/>
      <c r="D934" s="26" t="str">
        <f t="shared" si="47"/>
        <v>https://kokusho.nijl.ac.jp/biblio/100232367/62</v>
      </c>
      <c r="E934" s="22"/>
      <c r="F934" s="22"/>
      <c r="G934" s="22"/>
    </row>
    <row r="935" spans="1:7" x14ac:dyDescent="0.15">
      <c r="A935" s="19" t="s">
        <v>6767</v>
      </c>
      <c r="B935" s="25" t="s">
        <v>6908</v>
      </c>
      <c r="C935" s="22"/>
      <c r="D935" s="26" t="str">
        <f t="shared" si="47"/>
        <v>https://kokusho.nijl.ac.jp/biblio/100232367/62</v>
      </c>
      <c r="E935" s="22"/>
      <c r="F935" s="22"/>
      <c r="G935" s="22"/>
    </row>
    <row r="936" spans="1:7" x14ac:dyDescent="0.15">
      <c r="A936" s="19" t="s">
        <v>6767</v>
      </c>
      <c r="B936" s="25" t="s">
        <v>6391</v>
      </c>
      <c r="C936" s="22"/>
      <c r="D936" s="26" t="str">
        <f t="shared" si="47"/>
        <v>https://kokusho.nijl.ac.jp/biblio/100232367/62</v>
      </c>
      <c r="E936" s="22"/>
      <c r="F936" s="22"/>
      <c r="G936" s="22"/>
    </row>
    <row r="937" spans="1:7" x14ac:dyDescent="0.15">
      <c r="A937" s="19" t="s">
        <v>6767</v>
      </c>
      <c r="B937" s="25" t="s">
        <v>6909</v>
      </c>
      <c r="C937" s="22"/>
      <c r="D937" s="26" t="str">
        <f t="shared" si="47"/>
        <v>https://kokusho.nijl.ac.jp/biblio/100232367/62</v>
      </c>
      <c r="E937" s="22"/>
      <c r="F937" s="22"/>
      <c r="G937" s="22"/>
    </row>
    <row r="938" spans="1:7" x14ac:dyDescent="0.15">
      <c r="A938" s="19" t="s">
        <v>6767</v>
      </c>
      <c r="B938" s="25" t="s">
        <v>6910</v>
      </c>
      <c r="C938" s="22"/>
      <c r="D938" s="26" t="str">
        <f t="shared" si="47"/>
        <v>https://kokusho.nijl.ac.jp/biblio/100232367/62</v>
      </c>
      <c r="E938" s="22"/>
      <c r="F938" s="22"/>
      <c r="G938" s="22"/>
    </row>
    <row r="939" spans="1:7" x14ac:dyDescent="0.15">
      <c r="A939" s="19" t="s">
        <v>6767</v>
      </c>
      <c r="B939" s="25" t="s">
        <v>6911</v>
      </c>
      <c r="C939" s="22"/>
      <c r="D939" s="26" t="str">
        <f t="shared" ref="D939:D947" si="48">HYPERLINK("https://kokusho.nijl.ac.jp/biblio/100232367/63")</f>
        <v>https://kokusho.nijl.ac.jp/biblio/100232367/63</v>
      </c>
      <c r="E939" s="22"/>
      <c r="F939" s="22"/>
      <c r="G939" s="22"/>
    </row>
    <row r="940" spans="1:7" x14ac:dyDescent="0.15">
      <c r="A940" s="19" t="s">
        <v>6767</v>
      </c>
      <c r="B940" s="25" t="s">
        <v>6912</v>
      </c>
      <c r="C940" s="22"/>
      <c r="D940" s="26" t="str">
        <f t="shared" si="48"/>
        <v>https://kokusho.nijl.ac.jp/biblio/100232367/63</v>
      </c>
      <c r="E940" s="22"/>
      <c r="F940" s="22"/>
      <c r="G940" s="22"/>
    </row>
    <row r="941" spans="1:7" x14ac:dyDescent="0.15">
      <c r="A941" s="19" t="s">
        <v>6767</v>
      </c>
      <c r="B941" s="25" t="s">
        <v>6357</v>
      </c>
      <c r="C941" s="22"/>
      <c r="D941" s="26" t="str">
        <f t="shared" si="48"/>
        <v>https://kokusho.nijl.ac.jp/biblio/100232367/63</v>
      </c>
      <c r="E941" s="22"/>
      <c r="F941" s="22"/>
      <c r="G941" s="22"/>
    </row>
    <row r="942" spans="1:7" x14ac:dyDescent="0.15">
      <c r="A942" s="19" t="s">
        <v>6767</v>
      </c>
      <c r="B942" s="25" t="s">
        <v>6913</v>
      </c>
      <c r="C942" s="22"/>
      <c r="D942" s="26" t="str">
        <f t="shared" si="48"/>
        <v>https://kokusho.nijl.ac.jp/biblio/100232367/63</v>
      </c>
      <c r="E942" s="22"/>
      <c r="F942" s="22"/>
      <c r="G942" s="22"/>
    </row>
    <row r="943" spans="1:7" x14ac:dyDescent="0.15">
      <c r="A943" s="19" t="s">
        <v>6767</v>
      </c>
      <c r="B943" s="25" t="s">
        <v>6914</v>
      </c>
      <c r="C943" s="22"/>
      <c r="D943" s="26" t="str">
        <f t="shared" si="48"/>
        <v>https://kokusho.nijl.ac.jp/biblio/100232367/63</v>
      </c>
      <c r="E943" s="22"/>
      <c r="F943" s="22"/>
      <c r="G943" s="22"/>
    </row>
    <row r="944" spans="1:7" x14ac:dyDescent="0.15">
      <c r="A944" s="19" t="s">
        <v>6767</v>
      </c>
      <c r="B944" s="25" t="s">
        <v>6396</v>
      </c>
      <c r="C944" s="22"/>
      <c r="D944" s="26" t="str">
        <f t="shared" si="48"/>
        <v>https://kokusho.nijl.ac.jp/biblio/100232367/63</v>
      </c>
      <c r="E944" s="22"/>
      <c r="F944" s="22"/>
      <c r="G944" s="22"/>
    </row>
    <row r="945" spans="1:7" x14ac:dyDescent="0.15">
      <c r="A945" s="19" t="s">
        <v>6767</v>
      </c>
      <c r="B945" s="25" t="s">
        <v>6915</v>
      </c>
      <c r="C945" s="22"/>
      <c r="D945" s="26" t="str">
        <f t="shared" si="48"/>
        <v>https://kokusho.nijl.ac.jp/biblio/100232367/63</v>
      </c>
      <c r="E945" s="22"/>
      <c r="F945" s="22"/>
      <c r="G945" s="22"/>
    </row>
    <row r="946" spans="1:7" x14ac:dyDescent="0.15">
      <c r="A946" s="19" t="s">
        <v>6767</v>
      </c>
      <c r="B946" s="25" t="s">
        <v>6916</v>
      </c>
      <c r="C946" s="22"/>
      <c r="D946" s="26" t="str">
        <f t="shared" si="48"/>
        <v>https://kokusho.nijl.ac.jp/biblio/100232367/63</v>
      </c>
      <c r="E946" s="22"/>
      <c r="F946" s="22"/>
      <c r="G946" s="22"/>
    </row>
    <row r="947" spans="1:7" x14ac:dyDescent="0.15">
      <c r="A947" s="19" t="s">
        <v>6767</v>
      </c>
      <c r="B947" s="25" t="s">
        <v>6917</v>
      </c>
      <c r="C947" s="22"/>
      <c r="D947" s="26" t="str">
        <f t="shared" si="48"/>
        <v>https://kokusho.nijl.ac.jp/biblio/100232367/63</v>
      </c>
      <c r="E947" s="22"/>
      <c r="F947" s="22"/>
      <c r="G947" s="22"/>
    </row>
    <row r="948" spans="1:7" x14ac:dyDescent="0.15">
      <c r="A948" s="19" t="s">
        <v>6767</v>
      </c>
      <c r="B948" s="25" t="s">
        <v>6918</v>
      </c>
      <c r="C948" s="22"/>
      <c r="D948" s="26" t="str">
        <f t="shared" ref="D948:D955" si="49">HYPERLINK("https://kokusho.nijl.ac.jp/biblio/100232367/64")</f>
        <v>https://kokusho.nijl.ac.jp/biblio/100232367/64</v>
      </c>
      <c r="E948" s="22"/>
      <c r="F948" s="22"/>
      <c r="G948" s="22"/>
    </row>
    <row r="949" spans="1:7" x14ac:dyDescent="0.15">
      <c r="A949" s="19" t="s">
        <v>6767</v>
      </c>
      <c r="B949" s="25" t="s">
        <v>6919</v>
      </c>
      <c r="C949" s="22"/>
      <c r="D949" s="26" t="str">
        <f t="shared" si="49"/>
        <v>https://kokusho.nijl.ac.jp/biblio/100232367/64</v>
      </c>
      <c r="E949" s="22"/>
      <c r="F949" s="22"/>
      <c r="G949" s="22"/>
    </row>
    <row r="950" spans="1:7" x14ac:dyDescent="0.15">
      <c r="A950" s="19" t="s">
        <v>6767</v>
      </c>
      <c r="B950" s="25" t="s">
        <v>6920</v>
      </c>
      <c r="C950" s="22"/>
      <c r="D950" s="26" t="str">
        <f t="shared" si="49"/>
        <v>https://kokusho.nijl.ac.jp/biblio/100232367/64</v>
      </c>
      <c r="E950" s="22"/>
      <c r="F950" s="22"/>
      <c r="G950" s="22"/>
    </row>
    <row r="951" spans="1:7" x14ac:dyDescent="0.15">
      <c r="A951" s="19" t="s">
        <v>6767</v>
      </c>
      <c r="B951" s="25" t="s">
        <v>6921</v>
      </c>
      <c r="C951" s="22"/>
      <c r="D951" s="26" t="str">
        <f t="shared" si="49"/>
        <v>https://kokusho.nijl.ac.jp/biblio/100232367/64</v>
      </c>
      <c r="E951" s="22"/>
      <c r="F951" s="22"/>
      <c r="G951" s="22"/>
    </row>
    <row r="952" spans="1:7" x14ac:dyDescent="0.15">
      <c r="A952" s="19" t="s">
        <v>6767</v>
      </c>
      <c r="B952" s="25" t="s">
        <v>6922</v>
      </c>
      <c r="C952" s="22"/>
      <c r="D952" s="26" t="str">
        <f t="shared" si="49"/>
        <v>https://kokusho.nijl.ac.jp/biblio/100232367/64</v>
      </c>
      <c r="E952" s="22"/>
      <c r="F952" s="22"/>
      <c r="G952" s="22"/>
    </row>
    <row r="953" spans="1:7" x14ac:dyDescent="0.15">
      <c r="A953" s="19" t="s">
        <v>6767</v>
      </c>
      <c r="B953" s="25" t="s">
        <v>6923</v>
      </c>
      <c r="C953" s="22"/>
      <c r="D953" s="26" t="str">
        <f t="shared" si="49"/>
        <v>https://kokusho.nijl.ac.jp/biblio/100232367/64</v>
      </c>
      <c r="E953" s="22"/>
      <c r="F953" s="22"/>
      <c r="G953" s="22"/>
    </row>
    <row r="954" spans="1:7" x14ac:dyDescent="0.15">
      <c r="A954" s="19" t="s">
        <v>6767</v>
      </c>
      <c r="B954" s="25" t="s">
        <v>6924</v>
      </c>
      <c r="C954" s="22"/>
      <c r="D954" s="26" t="str">
        <f t="shared" si="49"/>
        <v>https://kokusho.nijl.ac.jp/biblio/100232367/64</v>
      </c>
      <c r="E954" s="22"/>
      <c r="F954" s="22"/>
      <c r="G954" s="22"/>
    </row>
    <row r="955" spans="1:7" x14ac:dyDescent="0.15">
      <c r="A955" s="19" t="s">
        <v>6767</v>
      </c>
      <c r="B955" s="25" t="s">
        <v>6414</v>
      </c>
      <c r="C955" s="22"/>
      <c r="D955" s="26" t="str">
        <f t="shared" si="49"/>
        <v>https://kokusho.nijl.ac.jp/biblio/100232367/64</v>
      </c>
      <c r="E955" s="22"/>
      <c r="F955" s="22"/>
      <c r="G955" s="22"/>
    </row>
    <row r="956" spans="1:7" x14ac:dyDescent="0.15">
      <c r="A956" s="19" t="s">
        <v>6767</v>
      </c>
      <c r="B956" s="25" t="s">
        <v>6925</v>
      </c>
      <c r="C956" s="22"/>
      <c r="D956" s="26" t="str">
        <f t="shared" ref="D956:D961" si="50">HYPERLINK("https://kokusho.nijl.ac.jp/biblio/100232367/65")</f>
        <v>https://kokusho.nijl.ac.jp/biblio/100232367/65</v>
      </c>
      <c r="E956" s="22"/>
      <c r="F956" s="22"/>
      <c r="G956" s="22"/>
    </row>
    <row r="957" spans="1:7" x14ac:dyDescent="0.15">
      <c r="A957" s="19" t="s">
        <v>6767</v>
      </c>
      <c r="B957" s="25" t="s">
        <v>6926</v>
      </c>
      <c r="C957" s="22"/>
      <c r="D957" s="26" t="str">
        <f t="shared" si="50"/>
        <v>https://kokusho.nijl.ac.jp/biblio/100232367/65</v>
      </c>
      <c r="E957" s="22"/>
      <c r="F957" s="22"/>
      <c r="G957" s="22"/>
    </row>
    <row r="958" spans="1:7" x14ac:dyDescent="0.15">
      <c r="A958" s="19" t="s">
        <v>6767</v>
      </c>
      <c r="B958" s="25" t="s">
        <v>6927</v>
      </c>
      <c r="C958" s="22"/>
      <c r="D958" s="26" t="str">
        <f t="shared" si="50"/>
        <v>https://kokusho.nijl.ac.jp/biblio/100232367/65</v>
      </c>
      <c r="E958" s="22"/>
      <c r="F958" s="22"/>
      <c r="G958" s="22"/>
    </row>
    <row r="959" spans="1:7" x14ac:dyDescent="0.15">
      <c r="A959" s="19" t="s">
        <v>6767</v>
      </c>
      <c r="B959" s="25" t="s">
        <v>6928</v>
      </c>
      <c r="C959" s="22"/>
      <c r="D959" s="26" t="str">
        <f t="shared" si="50"/>
        <v>https://kokusho.nijl.ac.jp/biblio/100232367/65</v>
      </c>
      <c r="E959" s="22"/>
      <c r="F959" s="22"/>
      <c r="G959" s="22"/>
    </row>
    <row r="960" spans="1:7" x14ac:dyDescent="0.15">
      <c r="A960" s="19" t="s">
        <v>6767</v>
      </c>
      <c r="B960" s="25" t="s">
        <v>6929</v>
      </c>
      <c r="C960" s="22"/>
      <c r="D960" s="26" t="str">
        <f t="shared" si="50"/>
        <v>https://kokusho.nijl.ac.jp/biblio/100232367/65</v>
      </c>
      <c r="E960" s="22"/>
      <c r="F960" s="22"/>
      <c r="G960" s="22"/>
    </row>
    <row r="961" spans="1:7" x14ac:dyDescent="0.15">
      <c r="A961" s="19" t="s">
        <v>6767</v>
      </c>
      <c r="B961" s="25" t="s">
        <v>6930</v>
      </c>
      <c r="C961" s="22"/>
      <c r="D961" s="26" t="str">
        <f t="shared" si="50"/>
        <v>https://kokusho.nijl.ac.jp/biblio/100232367/65</v>
      </c>
      <c r="E961" s="22"/>
      <c r="F961" s="22"/>
      <c r="G961" s="22"/>
    </row>
    <row r="962" spans="1:7" x14ac:dyDescent="0.15">
      <c r="A962" s="19" t="s">
        <v>6767</v>
      </c>
      <c r="B962" s="25" t="s">
        <v>6931</v>
      </c>
      <c r="C962" s="22"/>
      <c r="D962" s="26" t="str">
        <f t="shared" ref="D962:D971" si="51">HYPERLINK("https://kokusho.nijl.ac.jp/biblio/100232367/66")</f>
        <v>https://kokusho.nijl.ac.jp/biblio/100232367/66</v>
      </c>
      <c r="E962" s="22"/>
      <c r="F962" s="22"/>
      <c r="G962" s="22"/>
    </row>
    <row r="963" spans="1:7" x14ac:dyDescent="0.15">
      <c r="A963" s="19" t="s">
        <v>6767</v>
      </c>
      <c r="B963" s="25" t="s">
        <v>6932</v>
      </c>
      <c r="C963" s="22"/>
      <c r="D963" s="26" t="str">
        <f t="shared" si="51"/>
        <v>https://kokusho.nijl.ac.jp/biblio/100232367/66</v>
      </c>
      <c r="E963" s="22"/>
      <c r="F963" s="22"/>
      <c r="G963" s="22"/>
    </row>
    <row r="964" spans="1:7" x14ac:dyDescent="0.15">
      <c r="A964" s="19" t="s">
        <v>6767</v>
      </c>
      <c r="B964" s="25" t="s">
        <v>6933</v>
      </c>
      <c r="C964" s="22"/>
      <c r="D964" s="26" t="str">
        <f t="shared" si="51"/>
        <v>https://kokusho.nijl.ac.jp/biblio/100232367/66</v>
      </c>
      <c r="E964" s="22"/>
      <c r="F964" s="22"/>
      <c r="G964" s="22"/>
    </row>
    <row r="965" spans="1:7" x14ac:dyDescent="0.15">
      <c r="A965" s="19" t="s">
        <v>6767</v>
      </c>
      <c r="B965" s="25" t="s">
        <v>6934</v>
      </c>
      <c r="C965" s="22"/>
      <c r="D965" s="26" t="str">
        <f t="shared" si="51"/>
        <v>https://kokusho.nijl.ac.jp/biblio/100232367/66</v>
      </c>
      <c r="E965" s="22"/>
      <c r="F965" s="22"/>
      <c r="G965" s="22"/>
    </row>
    <row r="966" spans="1:7" x14ac:dyDescent="0.15">
      <c r="A966" s="19" t="s">
        <v>6767</v>
      </c>
      <c r="B966" s="25" t="s">
        <v>6935</v>
      </c>
      <c r="C966" s="22"/>
      <c r="D966" s="26" t="str">
        <f t="shared" si="51"/>
        <v>https://kokusho.nijl.ac.jp/biblio/100232367/66</v>
      </c>
      <c r="E966" s="22"/>
      <c r="F966" s="22"/>
      <c r="G966" s="22"/>
    </row>
    <row r="967" spans="1:7" x14ac:dyDescent="0.15">
      <c r="A967" s="19" t="s">
        <v>6767</v>
      </c>
      <c r="B967" s="25" t="s">
        <v>6936</v>
      </c>
      <c r="C967" s="22"/>
      <c r="D967" s="26" t="str">
        <f t="shared" si="51"/>
        <v>https://kokusho.nijl.ac.jp/biblio/100232367/66</v>
      </c>
      <c r="E967" s="22"/>
      <c r="F967" s="22"/>
      <c r="G967" s="22"/>
    </row>
    <row r="968" spans="1:7" x14ac:dyDescent="0.15">
      <c r="A968" s="19" t="s">
        <v>6767</v>
      </c>
      <c r="B968" s="25" t="s">
        <v>6937</v>
      </c>
      <c r="C968" s="22"/>
      <c r="D968" s="26" t="str">
        <f t="shared" si="51"/>
        <v>https://kokusho.nijl.ac.jp/biblio/100232367/66</v>
      </c>
      <c r="E968" s="22"/>
      <c r="F968" s="22"/>
      <c r="G968" s="22"/>
    </row>
    <row r="969" spans="1:7" x14ac:dyDescent="0.15">
      <c r="A969" s="19" t="s">
        <v>6767</v>
      </c>
      <c r="B969" s="25" t="s">
        <v>6938</v>
      </c>
      <c r="C969" s="22"/>
      <c r="D969" s="26" t="str">
        <f t="shared" si="51"/>
        <v>https://kokusho.nijl.ac.jp/biblio/100232367/66</v>
      </c>
      <c r="E969" s="22"/>
      <c r="F969" s="22"/>
      <c r="G969" s="22"/>
    </row>
    <row r="970" spans="1:7" x14ac:dyDescent="0.15">
      <c r="A970" s="19" t="s">
        <v>6767</v>
      </c>
      <c r="B970" s="25" t="s">
        <v>6514</v>
      </c>
      <c r="C970" s="22"/>
      <c r="D970" s="26" t="str">
        <f t="shared" si="51"/>
        <v>https://kokusho.nijl.ac.jp/biblio/100232367/66</v>
      </c>
      <c r="E970" s="22"/>
      <c r="F970" s="22"/>
      <c r="G970" s="22"/>
    </row>
    <row r="971" spans="1:7" x14ac:dyDescent="0.15">
      <c r="A971" s="19" t="s">
        <v>6767</v>
      </c>
      <c r="B971" s="25" t="s">
        <v>6939</v>
      </c>
      <c r="C971" s="22"/>
      <c r="D971" s="26" t="str">
        <f t="shared" si="51"/>
        <v>https://kokusho.nijl.ac.jp/biblio/100232367/66</v>
      </c>
      <c r="E971" s="22"/>
      <c r="F971" s="22"/>
      <c r="G971" s="22"/>
    </row>
    <row r="972" spans="1:7" x14ac:dyDescent="0.15">
      <c r="A972" s="19" t="s">
        <v>6767</v>
      </c>
      <c r="B972" s="25" t="s">
        <v>6940</v>
      </c>
      <c r="C972" s="22"/>
      <c r="D972" s="26" t="str">
        <f t="shared" ref="D972:D977" si="52">HYPERLINK("https://kokusho.nijl.ac.jp/biblio/100232367/67")</f>
        <v>https://kokusho.nijl.ac.jp/biblio/100232367/67</v>
      </c>
      <c r="E972" s="22"/>
      <c r="F972" s="22"/>
      <c r="G972" s="22"/>
    </row>
    <row r="973" spans="1:7" x14ac:dyDescent="0.15">
      <c r="A973" s="19" t="s">
        <v>6767</v>
      </c>
      <c r="B973" s="25" t="s">
        <v>6941</v>
      </c>
      <c r="C973" s="22"/>
      <c r="D973" s="26" t="str">
        <f t="shared" si="52"/>
        <v>https://kokusho.nijl.ac.jp/biblio/100232367/67</v>
      </c>
      <c r="E973" s="22"/>
      <c r="F973" s="22"/>
      <c r="G973" s="22"/>
    </row>
    <row r="974" spans="1:7" x14ac:dyDescent="0.15">
      <c r="A974" s="19" t="s">
        <v>6767</v>
      </c>
      <c r="B974" s="25" t="s">
        <v>6942</v>
      </c>
      <c r="C974" s="22"/>
      <c r="D974" s="26" t="str">
        <f t="shared" si="52"/>
        <v>https://kokusho.nijl.ac.jp/biblio/100232367/67</v>
      </c>
      <c r="E974" s="22"/>
      <c r="F974" s="22"/>
      <c r="G974" s="22"/>
    </row>
    <row r="975" spans="1:7" x14ac:dyDescent="0.15">
      <c r="A975" s="19" t="s">
        <v>6767</v>
      </c>
      <c r="B975" s="25" t="s">
        <v>6943</v>
      </c>
      <c r="C975" s="22"/>
      <c r="D975" s="26" t="str">
        <f t="shared" si="52"/>
        <v>https://kokusho.nijl.ac.jp/biblio/100232367/67</v>
      </c>
      <c r="E975" s="22"/>
      <c r="F975" s="22"/>
      <c r="G975" s="22"/>
    </row>
    <row r="976" spans="1:7" x14ac:dyDescent="0.15">
      <c r="A976" s="19" t="s">
        <v>6767</v>
      </c>
      <c r="B976" s="25" t="s">
        <v>6944</v>
      </c>
      <c r="C976" s="22"/>
      <c r="D976" s="26" t="str">
        <f t="shared" si="52"/>
        <v>https://kokusho.nijl.ac.jp/biblio/100232367/67</v>
      </c>
      <c r="E976" s="22"/>
      <c r="F976" s="22"/>
      <c r="G976" s="22"/>
    </row>
    <row r="977" spans="1:7" x14ac:dyDescent="0.15">
      <c r="A977" s="19" t="s">
        <v>6767</v>
      </c>
      <c r="B977" s="25" t="s">
        <v>6945</v>
      </c>
      <c r="C977" s="22"/>
      <c r="D977" s="26" t="str">
        <f t="shared" si="52"/>
        <v>https://kokusho.nijl.ac.jp/biblio/100232367/67</v>
      </c>
      <c r="E977" s="22"/>
      <c r="F977" s="22"/>
      <c r="G977" s="22"/>
    </row>
    <row r="978" spans="1:7" x14ac:dyDescent="0.15">
      <c r="A978" s="19" t="s">
        <v>6767</v>
      </c>
      <c r="B978" s="25" t="s">
        <v>6392</v>
      </c>
      <c r="C978" s="22"/>
      <c r="D978" s="26" t="str">
        <f t="shared" ref="D978:D986" si="53">HYPERLINK("https://kokusho.nijl.ac.jp/biblio/100232367/68")</f>
        <v>https://kokusho.nijl.ac.jp/biblio/100232367/68</v>
      </c>
      <c r="E978" s="22"/>
      <c r="F978" s="22"/>
      <c r="G978" s="22"/>
    </row>
    <row r="979" spans="1:7" x14ac:dyDescent="0.15">
      <c r="A979" s="19" t="s">
        <v>6767</v>
      </c>
      <c r="B979" s="25" t="s">
        <v>6946</v>
      </c>
      <c r="C979" s="22"/>
      <c r="D979" s="26" t="str">
        <f t="shared" si="53"/>
        <v>https://kokusho.nijl.ac.jp/biblio/100232367/68</v>
      </c>
      <c r="E979" s="22"/>
      <c r="F979" s="22"/>
      <c r="G979" s="22"/>
    </row>
    <row r="980" spans="1:7" x14ac:dyDescent="0.15">
      <c r="A980" s="19" t="s">
        <v>6767</v>
      </c>
      <c r="B980" s="25" t="s">
        <v>6947</v>
      </c>
      <c r="C980" s="22"/>
      <c r="D980" s="26" t="str">
        <f t="shared" si="53"/>
        <v>https://kokusho.nijl.ac.jp/biblio/100232367/68</v>
      </c>
      <c r="E980" s="22"/>
      <c r="F980" s="22"/>
      <c r="G980" s="22"/>
    </row>
    <row r="981" spans="1:7" x14ac:dyDescent="0.15">
      <c r="A981" s="19" t="s">
        <v>6767</v>
      </c>
      <c r="B981" s="25" t="s">
        <v>6948</v>
      </c>
      <c r="C981" s="22"/>
      <c r="D981" s="26" t="str">
        <f t="shared" si="53"/>
        <v>https://kokusho.nijl.ac.jp/biblio/100232367/68</v>
      </c>
      <c r="E981" s="22"/>
      <c r="F981" s="22"/>
      <c r="G981" s="22"/>
    </row>
    <row r="982" spans="1:7" x14ac:dyDescent="0.15">
      <c r="A982" s="19" t="s">
        <v>6767</v>
      </c>
      <c r="B982" s="25" t="s">
        <v>6949</v>
      </c>
      <c r="C982" s="22"/>
      <c r="D982" s="26" t="str">
        <f t="shared" si="53"/>
        <v>https://kokusho.nijl.ac.jp/biblio/100232367/68</v>
      </c>
      <c r="E982" s="22"/>
      <c r="F982" s="22"/>
      <c r="G982" s="22"/>
    </row>
    <row r="983" spans="1:7" x14ac:dyDescent="0.15">
      <c r="A983" s="19" t="s">
        <v>6767</v>
      </c>
      <c r="B983" s="25" t="s">
        <v>6950</v>
      </c>
      <c r="C983" s="22"/>
      <c r="D983" s="26" t="str">
        <f t="shared" si="53"/>
        <v>https://kokusho.nijl.ac.jp/biblio/100232367/68</v>
      </c>
      <c r="E983" s="22"/>
      <c r="F983" s="22"/>
      <c r="G983" s="22"/>
    </row>
    <row r="984" spans="1:7" x14ac:dyDescent="0.15">
      <c r="A984" s="19" t="s">
        <v>6767</v>
      </c>
      <c r="B984" s="25" t="s">
        <v>6951</v>
      </c>
      <c r="C984" s="22"/>
      <c r="D984" s="26" t="str">
        <f t="shared" si="53"/>
        <v>https://kokusho.nijl.ac.jp/biblio/100232367/68</v>
      </c>
      <c r="E984" s="22"/>
      <c r="F984" s="22"/>
      <c r="G984" s="22"/>
    </row>
    <row r="985" spans="1:7" x14ac:dyDescent="0.15">
      <c r="A985" s="19" t="s">
        <v>6767</v>
      </c>
      <c r="B985" s="25" t="s">
        <v>6952</v>
      </c>
      <c r="C985" s="22"/>
      <c r="D985" s="26" t="str">
        <f t="shared" si="53"/>
        <v>https://kokusho.nijl.ac.jp/biblio/100232367/68</v>
      </c>
      <c r="E985" s="22"/>
      <c r="F985" s="22"/>
      <c r="G985" s="22"/>
    </row>
    <row r="986" spans="1:7" x14ac:dyDescent="0.15">
      <c r="A986" s="19" t="s">
        <v>6767</v>
      </c>
      <c r="B986" s="25" t="s">
        <v>6953</v>
      </c>
      <c r="C986" s="22"/>
      <c r="D986" s="26" t="str">
        <f t="shared" si="53"/>
        <v>https://kokusho.nijl.ac.jp/biblio/100232367/68</v>
      </c>
      <c r="E986" s="22"/>
      <c r="F986" s="22"/>
      <c r="G986" s="22"/>
    </row>
    <row r="987" spans="1:7" x14ac:dyDescent="0.15">
      <c r="A987" s="19" t="s">
        <v>6767</v>
      </c>
      <c r="B987" s="25" t="s">
        <v>6954</v>
      </c>
      <c r="C987" s="22"/>
      <c r="D987" s="26" t="str">
        <f t="shared" ref="D987:D996" si="54">HYPERLINK("https://kokusho.nijl.ac.jp/biblio/100232367/69")</f>
        <v>https://kokusho.nijl.ac.jp/biblio/100232367/69</v>
      </c>
      <c r="E987" s="22"/>
      <c r="F987" s="22"/>
      <c r="G987" s="22"/>
    </row>
    <row r="988" spans="1:7" x14ac:dyDescent="0.15">
      <c r="A988" s="19" t="s">
        <v>6767</v>
      </c>
      <c r="B988" s="25" t="s">
        <v>6955</v>
      </c>
      <c r="C988" s="22"/>
      <c r="D988" s="26" t="str">
        <f t="shared" si="54"/>
        <v>https://kokusho.nijl.ac.jp/biblio/100232367/69</v>
      </c>
      <c r="E988" s="22"/>
      <c r="F988" s="22"/>
      <c r="G988" s="22"/>
    </row>
    <row r="989" spans="1:7" x14ac:dyDescent="0.15">
      <c r="A989" s="19" t="s">
        <v>6767</v>
      </c>
      <c r="B989" s="25" t="s">
        <v>6956</v>
      </c>
      <c r="C989" s="22"/>
      <c r="D989" s="26" t="str">
        <f t="shared" si="54"/>
        <v>https://kokusho.nijl.ac.jp/biblio/100232367/69</v>
      </c>
      <c r="E989" s="22"/>
      <c r="F989" s="22"/>
      <c r="G989" s="22"/>
    </row>
    <row r="990" spans="1:7" x14ac:dyDescent="0.15">
      <c r="A990" s="19" t="s">
        <v>6767</v>
      </c>
      <c r="B990" s="25" t="s">
        <v>6957</v>
      </c>
      <c r="C990" s="22"/>
      <c r="D990" s="26" t="str">
        <f t="shared" si="54"/>
        <v>https://kokusho.nijl.ac.jp/biblio/100232367/69</v>
      </c>
      <c r="E990" s="22"/>
      <c r="F990" s="22"/>
      <c r="G990" s="22"/>
    </row>
    <row r="991" spans="1:7" x14ac:dyDescent="0.15">
      <c r="A991" s="19" t="s">
        <v>6767</v>
      </c>
      <c r="B991" s="25" t="s">
        <v>6958</v>
      </c>
      <c r="C991" s="22"/>
      <c r="D991" s="26" t="str">
        <f t="shared" si="54"/>
        <v>https://kokusho.nijl.ac.jp/biblio/100232367/69</v>
      </c>
      <c r="E991" s="22"/>
      <c r="F991" s="22"/>
      <c r="G991" s="22"/>
    </row>
    <row r="992" spans="1:7" ht="40.5" x14ac:dyDescent="0.15">
      <c r="A992" s="19" t="s">
        <v>6767</v>
      </c>
      <c r="B992" s="25" t="s">
        <v>6959</v>
      </c>
      <c r="C992" s="22"/>
      <c r="D992" s="26" t="str">
        <f t="shared" si="54"/>
        <v>https://kokusho.nijl.ac.jp/biblio/100232367/69</v>
      </c>
      <c r="E992" s="22"/>
      <c r="F992" s="22"/>
      <c r="G992" s="22"/>
    </row>
    <row r="993" spans="1:7" x14ac:dyDescent="0.15">
      <c r="A993" s="19" t="s">
        <v>6767</v>
      </c>
      <c r="B993" s="25" t="s">
        <v>6960</v>
      </c>
      <c r="C993" s="22"/>
      <c r="D993" s="26" t="str">
        <f t="shared" si="54"/>
        <v>https://kokusho.nijl.ac.jp/biblio/100232367/69</v>
      </c>
      <c r="E993" s="22"/>
      <c r="F993" s="22"/>
      <c r="G993" s="22"/>
    </row>
    <row r="994" spans="1:7" x14ac:dyDescent="0.15">
      <c r="A994" s="19" t="s">
        <v>6767</v>
      </c>
      <c r="B994" s="25" t="s">
        <v>6961</v>
      </c>
      <c r="C994" s="22"/>
      <c r="D994" s="26" t="str">
        <f t="shared" si="54"/>
        <v>https://kokusho.nijl.ac.jp/biblio/100232367/69</v>
      </c>
      <c r="E994" s="22"/>
      <c r="F994" s="22"/>
      <c r="G994" s="22"/>
    </row>
    <row r="995" spans="1:7" x14ac:dyDescent="0.15">
      <c r="A995" s="19" t="s">
        <v>6767</v>
      </c>
      <c r="B995" s="25" t="s">
        <v>6962</v>
      </c>
      <c r="C995" s="22"/>
      <c r="D995" s="26" t="str">
        <f t="shared" si="54"/>
        <v>https://kokusho.nijl.ac.jp/biblio/100232367/69</v>
      </c>
      <c r="E995" s="22"/>
      <c r="F995" s="22"/>
      <c r="G995" s="22"/>
    </row>
    <row r="996" spans="1:7" x14ac:dyDescent="0.15">
      <c r="A996" s="19" t="s">
        <v>6767</v>
      </c>
      <c r="B996" s="25" t="s">
        <v>6963</v>
      </c>
      <c r="C996" s="22"/>
      <c r="D996" s="26" t="str">
        <f t="shared" si="54"/>
        <v>https://kokusho.nijl.ac.jp/biblio/100232367/69</v>
      </c>
      <c r="E996" s="22"/>
      <c r="F996" s="22"/>
      <c r="G996" s="22"/>
    </row>
    <row r="997" spans="1:7" x14ac:dyDescent="0.15">
      <c r="A997" s="19" t="s">
        <v>6767</v>
      </c>
      <c r="B997" s="25" t="s">
        <v>6964</v>
      </c>
      <c r="C997" s="22"/>
      <c r="D997" s="26" t="str">
        <f t="shared" ref="D997:D1002" si="55">HYPERLINK("https://kokusho.nijl.ac.jp/biblio/100232367/70")</f>
        <v>https://kokusho.nijl.ac.jp/biblio/100232367/70</v>
      </c>
      <c r="E997" s="22"/>
      <c r="F997" s="22"/>
      <c r="G997" s="22"/>
    </row>
    <row r="998" spans="1:7" x14ac:dyDescent="0.15">
      <c r="A998" s="19" t="s">
        <v>6767</v>
      </c>
      <c r="B998" s="25" t="s">
        <v>6325</v>
      </c>
      <c r="C998" s="22"/>
      <c r="D998" s="26" t="str">
        <f t="shared" si="55"/>
        <v>https://kokusho.nijl.ac.jp/biblio/100232367/70</v>
      </c>
      <c r="E998" s="22"/>
      <c r="F998" s="22"/>
      <c r="G998" s="22"/>
    </row>
    <row r="999" spans="1:7" x14ac:dyDescent="0.15">
      <c r="A999" s="19" t="s">
        <v>6767</v>
      </c>
      <c r="B999" s="25" t="s">
        <v>6965</v>
      </c>
      <c r="C999" s="22"/>
      <c r="D999" s="26" t="str">
        <f t="shared" si="55"/>
        <v>https://kokusho.nijl.ac.jp/biblio/100232367/70</v>
      </c>
      <c r="E999" s="22"/>
      <c r="F999" s="22"/>
      <c r="G999" s="22"/>
    </row>
    <row r="1000" spans="1:7" x14ac:dyDescent="0.15">
      <c r="A1000" s="19" t="s">
        <v>6767</v>
      </c>
      <c r="B1000" s="25" t="s">
        <v>6966</v>
      </c>
      <c r="C1000" s="22"/>
      <c r="D1000" s="26" t="str">
        <f t="shared" si="55"/>
        <v>https://kokusho.nijl.ac.jp/biblio/100232367/70</v>
      </c>
      <c r="E1000" s="22"/>
      <c r="F1000" s="22"/>
      <c r="G1000" s="22"/>
    </row>
    <row r="1001" spans="1:7" x14ac:dyDescent="0.15">
      <c r="A1001" s="19" t="s">
        <v>6767</v>
      </c>
      <c r="B1001" s="25" t="s">
        <v>6967</v>
      </c>
      <c r="C1001" s="22"/>
      <c r="D1001" s="26" t="str">
        <f t="shared" si="55"/>
        <v>https://kokusho.nijl.ac.jp/biblio/100232367/70</v>
      </c>
      <c r="E1001" s="22"/>
      <c r="F1001" s="22"/>
      <c r="G1001" s="22"/>
    </row>
    <row r="1002" spans="1:7" x14ac:dyDescent="0.15">
      <c r="A1002" s="19" t="s">
        <v>6767</v>
      </c>
      <c r="B1002" s="25" t="s">
        <v>6968</v>
      </c>
      <c r="C1002" s="22"/>
      <c r="D1002" s="26" t="str">
        <f t="shared" si="55"/>
        <v>https://kokusho.nijl.ac.jp/biblio/100232367/70</v>
      </c>
      <c r="E1002" s="22"/>
      <c r="F1002" s="22"/>
      <c r="G1002" s="22"/>
    </row>
    <row r="1003" spans="1:7" x14ac:dyDescent="0.15">
      <c r="A1003" s="19" t="s">
        <v>6767</v>
      </c>
      <c r="B1003" s="25" t="s">
        <v>6969</v>
      </c>
      <c r="C1003" s="22"/>
      <c r="D1003" s="26" t="str">
        <f t="shared" ref="D1003:D1011" si="56">HYPERLINK("https://kokusho.nijl.ac.jp/biblio/100232367/71")</f>
        <v>https://kokusho.nijl.ac.jp/biblio/100232367/71</v>
      </c>
      <c r="E1003" s="22"/>
      <c r="F1003" s="22"/>
      <c r="G1003" s="22"/>
    </row>
    <row r="1004" spans="1:7" x14ac:dyDescent="0.15">
      <c r="A1004" s="19" t="s">
        <v>6767</v>
      </c>
      <c r="B1004" s="25" t="s">
        <v>6970</v>
      </c>
      <c r="C1004" s="22"/>
      <c r="D1004" s="26" t="str">
        <f t="shared" si="56"/>
        <v>https://kokusho.nijl.ac.jp/biblio/100232367/71</v>
      </c>
      <c r="E1004" s="22"/>
      <c r="F1004" s="22"/>
      <c r="G1004" s="22"/>
    </row>
    <row r="1005" spans="1:7" x14ac:dyDescent="0.15">
      <c r="A1005" s="19" t="s">
        <v>6767</v>
      </c>
      <c r="B1005" s="25" t="s">
        <v>6329</v>
      </c>
      <c r="C1005" s="22"/>
      <c r="D1005" s="26" t="str">
        <f t="shared" si="56"/>
        <v>https://kokusho.nijl.ac.jp/biblio/100232367/71</v>
      </c>
      <c r="E1005" s="22"/>
      <c r="F1005" s="22"/>
      <c r="G1005" s="22"/>
    </row>
    <row r="1006" spans="1:7" x14ac:dyDescent="0.15">
      <c r="A1006" s="19" t="s">
        <v>6767</v>
      </c>
      <c r="B1006" s="25" t="s">
        <v>6971</v>
      </c>
      <c r="C1006" s="22"/>
      <c r="D1006" s="26" t="str">
        <f t="shared" si="56"/>
        <v>https://kokusho.nijl.ac.jp/biblio/100232367/71</v>
      </c>
      <c r="E1006" s="22"/>
      <c r="F1006" s="22"/>
      <c r="G1006" s="22"/>
    </row>
    <row r="1007" spans="1:7" x14ac:dyDescent="0.15">
      <c r="A1007" s="19" t="s">
        <v>6767</v>
      </c>
      <c r="B1007" s="25" t="s">
        <v>6972</v>
      </c>
      <c r="C1007" s="22"/>
      <c r="D1007" s="26" t="str">
        <f t="shared" si="56"/>
        <v>https://kokusho.nijl.ac.jp/biblio/100232367/71</v>
      </c>
      <c r="E1007" s="22"/>
      <c r="F1007" s="22"/>
      <c r="G1007" s="22"/>
    </row>
    <row r="1008" spans="1:7" x14ac:dyDescent="0.15">
      <c r="A1008" s="19" t="s">
        <v>6767</v>
      </c>
      <c r="B1008" s="25" t="s">
        <v>6973</v>
      </c>
      <c r="C1008" s="22"/>
      <c r="D1008" s="26" t="str">
        <f t="shared" si="56"/>
        <v>https://kokusho.nijl.ac.jp/biblio/100232367/71</v>
      </c>
      <c r="E1008" s="22"/>
      <c r="F1008" s="22"/>
      <c r="G1008" s="22"/>
    </row>
    <row r="1009" spans="1:7" x14ac:dyDescent="0.15">
      <c r="A1009" s="19" t="s">
        <v>6767</v>
      </c>
      <c r="B1009" s="25" t="s">
        <v>6974</v>
      </c>
      <c r="C1009" s="22"/>
      <c r="D1009" s="26" t="str">
        <f t="shared" si="56"/>
        <v>https://kokusho.nijl.ac.jp/biblio/100232367/71</v>
      </c>
      <c r="E1009" s="22"/>
      <c r="F1009" s="22"/>
      <c r="G1009" s="22"/>
    </row>
    <row r="1010" spans="1:7" x14ac:dyDescent="0.15">
      <c r="A1010" s="19" t="s">
        <v>6767</v>
      </c>
      <c r="B1010" s="25" t="s">
        <v>6975</v>
      </c>
      <c r="C1010" s="22"/>
      <c r="D1010" s="26" t="str">
        <f t="shared" si="56"/>
        <v>https://kokusho.nijl.ac.jp/biblio/100232367/71</v>
      </c>
      <c r="E1010" s="22"/>
      <c r="F1010" s="22"/>
      <c r="G1010" s="22"/>
    </row>
    <row r="1011" spans="1:7" x14ac:dyDescent="0.15">
      <c r="A1011" s="19" t="s">
        <v>6767</v>
      </c>
      <c r="B1011" s="25" t="s">
        <v>6976</v>
      </c>
      <c r="C1011" s="22"/>
      <c r="D1011" s="26" t="str">
        <f t="shared" si="56"/>
        <v>https://kokusho.nijl.ac.jp/biblio/100232367/71</v>
      </c>
      <c r="E1011" s="22"/>
      <c r="F1011" s="22"/>
      <c r="G1011" s="22"/>
    </row>
    <row r="1012" spans="1:7" x14ac:dyDescent="0.15">
      <c r="A1012" s="19" t="s">
        <v>6767</v>
      </c>
      <c r="B1012" s="25" t="s">
        <v>6977</v>
      </c>
      <c r="C1012" s="22"/>
      <c r="D1012" s="26" t="str">
        <f t="shared" ref="D1012:D1018" si="57">HYPERLINK("https://kokusho.nijl.ac.jp/biblio/100232367/72")</f>
        <v>https://kokusho.nijl.ac.jp/biblio/100232367/72</v>
      </c>
      <c r="E1012" s="22"/>
      <c r="F1012" s="22"/>
      <c r="G1012" s="22"/>
    </row>
    <row r="1013" spans="1:7" x14ac:dyDescent="0.15">
      <c r="A1013" s="19" t="s">
        <v>6767</v>
      </c>
      <c r="B1013" s="25" t="s">
        <v>6978</v>
      </c>
      <c r="C1013" s="22"/>
      <c r="D1013" s="26" t="str">
        <f t="shared" si="57"/>
        <v>https://kokusho.nijl.ac.jp/biblio/100232367/72</v>
      </c>
      <c r="E1013" s="22"/>
      <c r="F1013" s="22"/>
      <c r="G1013" s="22"/>
    </row>
    <row r="1014" spans="1:7" x14ac:dyDescent="0.15">
      <c r="A1014" s="19" t="s">
        <v>6767</v>
      </c>
      <c r="B1014" s="25" t="s">
        <v>6979</v>
      </c>
      <c r="C1014" s="22"/>
      <c r="D1014" s="26" t="str">
        <f t="shared" si="57"/>
        <v>https://kokusho.nijl.ac.jp/biblio/100232367/72</v>
      </c>
      <c r="E1014" s="22"/>
      <c r="F1014" s="22"/>
      <c r="G1014" s="22"/>
    </row>
    <row r="1015" spans="1:7" x14ac:dyDescent="0.15">
      <c r="A1015" s="19" t="s">
        <v>6767</v>
      </c>
      <c r="B1015" s="25" t="s">
        <v>6980</v>
      </c>
      <c r="C1015" s="22"/>
      <c r="D1015" s="26" t="str">
        <f t="shared" si="57"/>
        <v>https://kokusho.nijl.ac.jp/biblio/100232367/72</v>
      </c>
      <c r="E1015" s="22"/>
      <c r="F1015" s="22"/>
      <c r="G1015" s="22"/>
    </row>
    <row r="1016" spans="1:7" x14ac:dyDescent="0.15">
      <c r="A1016" s="19" t="s">
        <v>6767</v>
      </c>
      <c r="B1016" s="25" t="s">
        <v>6981</v>
      </c>
      <c r="C1016" s="22"/>
      <c r="D1016" s="26" t="str">
        <f t="shared" si="57"/>
        <v>https://kokusho.nijl.ac.jp/biblio/100232367/72</v>
      </c>
      <c r="E1016" s="22"/>
      <c r="F1016" s="22"/>
      <c r="G1016" s="22"/>
    </row>
    <row r="1017" spans="1:7" x14ac:dyDescent="0.15">
      <c r="A1017" s="19" t="s">
        <v>6767</v>
      </c>
      <c r="B1017" s="25" t="s">
        <v>6982</v>
      </c>
      <c r="C1017" s="22"/>
      <c r="D1017" s="26" t="str">
        <f t="shared" si="57"/>
        <v>https://kokusho.nijl.ac.jp/biblio/100232367/72</v>
      </c>
      <c r="E1017" s="22"/>
      <c r="F1017" s="22"/>
      <c r="G1017" s="22"/>
    </row>
    <row r="1018" spans="1:7" x14ac:dyDescent="0.15">
      <c r="A1018" s="19" t="s">
        <v>6767</v>
      </c>
      <c r="B1018" s="25" t="s">
        <v>6983</v>
      </c>
      <c r="C1018" s="22"/>
      <c r="D1018" s="26" t="str">
        <f t="shared" si="57"/>
        <v>https://kokusho.nijl.ac.jp/biblio/100232367/72</v>
      </c>
      <c r="E1018" s="22"/>
      <c r="F1018" s="22"/>
      <c r="G1018" s="22"/>
    </row>
    <row r="1019" spans="1:7" ht="40.5" x14ac:dyDescent="0.15">
      <c r="A1019" s="19" t="s">
        <v>6767</v>
      </c>
      <c r="B1019" s="25" t="s">
        <v>6984</v>
      </c>
      <c r="C1019" s="22"/>
      <c r="D1019" s="26" t="str">
        <f t="shared" ref="D1019:D1026" si="58">HYPERLINK("https://kokusho.nijl.ac.jp/biblio/100232367/73")</f>
        <v>https://kokusho.nijl.ac.jp/biblio/100232367/73</v>
      </c>
      <c r="E1019" s="22"/>
      <c r="F1019" s="22"/>
      <c r="G1019" s="22"/>
    </row>
    <row r="1020" spans="1:7" x14ac:dyDescent="0.15">
      <c r="A1020" s="19" t="s">
        <v>6767</v>
      </c>
      <c r="B1020" s="25" t="s">
        <v>6985</v>
      </c>
      <c r="C1020" s="22"/>
      <c r="D1020" s="26" t="str">
        <f t="shared" si="58"/>
        <v>https://kokusho.nijl.ac.jp/biblio/100232367/73</v>
      </c>
      <c r="E1020" s="22"/>
      <c r="F1020" s="22"/>
      <c r="G1020" s="22"/>
    </row>
    <row r="1021" spans="1:7" x14ac:dyDescent="0.15">
      <c r="A1021" s="19" t="s">
        <v>6767</v>
      </c>
      <c r="B1021" s="25" t="s">
        <v>6986</v>
      </c>
      <c r="C1021" s="22"/>
      <c r="D1021" s="26" t="str">
        <f t="shared" si="58"/>
        <v>https://kokusho.nijl.ac.jp/biblio/100232367/73</v>
      </c>
      <c r="E1021" s="22"/>
      <c r="F1021" s="22"/>
      <c r="G1021" s="22"/>
    </row>
    <row r="1022" spans="1:7" x14ac:dyDescent="0.15">
      <c r="A1022" s="19" t="s">
        <v>6767</v>
      </c>
      <c r="B1022" s="25" t="s">
        <v>6987</v>
      </c>
      <c r="C1022" s="22"/>
      <c r="D1022" s="26" t="str">
        <f t="shared" si="58"/>
        <v>https://kokusho.nijl.ac.jp/biblio/100232367/73</v>
      </c>
      <c r="E1022" s="22"/>
      <c r="F1022" s="22"/>
      <c r="G1022" s="22"/>
    </row>
    <row r="1023" spans="1:7" x14ac:dyDescent="0.15">
      <c r="A1023" s="19" t="s">
        <v>6767</v>
      </c>
      <c r="B1023" s="25" t="s">
        <v>6988</v>
      </c>
      <c r="C1023" s="22"/>
      <c r="D1023" s="26" t="str">
        <f t="shared" si="58"/>
        <v>https://kokusho.nijl.ac.jp/biblio/100232367/73</v>
      </c>
      <c r="E1023" s="22"/>
      <c r="F1023" s="22"/>
      <c r="G1023" s="22"/>
    </row>
    <row r="1024" spans="1:7" x14ac:dyDescent="0.15">
      <c r="A1024" s="19" t="s">
        <v>6767</v>
      </c>
      <c r="B1024" s="25" t="s">
        <v>6989</v>
      </c>
      <c r="C1024" s="22"/>
      <c r="D1024" s="26" t="str">
        <f t="shared" si="58"/>
        <v>https://kokusho.nijl.ac.jp/biblio/100232367/73</v>
      </c>
      <c r="E1024" s="22"/>
      <c r="F1024" s="22"/>
      <c r="G1024" s="22"/>
    </row>
    <row r="1025" spans="1:7" x14ac:dyDescent="0.15">
      <c r="A1025" s="19" t="s">
        <v>6767</v>
      </c>
      <c r="B1025" s="25" t="s">
        <v>6990</v>
      </c>
      <c r="C1025" s="22"/>
      <c r="D1025" s="26" t="str">
        <f t="shared" si="58"/>
        <v>https://kokusho.nijl.ac.jp/biblio/100232367/73</v>
      </c>
      <c r="E1025" s="22"/>
      <c r="F1025" s="22"/>
      <c r="G1025" s="22"/>
    </row>
    <row r="1026" spans="1:7" x14ac:dyDescent="0.15">
      <c r="A1026" s="19" t="s">
        <v>6767</v>
      </c>
      <c r="B1026" s="25" t="s">
        <v>6991</v>
      </c>
      <c r="C1026" s="22"/>
      <c r="D1026" s="26" t="str">
        <f t="shared" si="58"/>
        <v>https://kokusho.nijl.ac.jp/biblio/100232367/73</v>
      </c>
      <c r="E1026" s="22"/>
      <c r="F1026" s="22"/>
      <c r="G1026" s="22"/>
    </row>
    <row r="1027" spans="1:7" x14ac:dyDescent="0.15">
      <c r="A1027" s="19" t="s">
        <v>6767</v>
      </c>
      <c r="B1027" s="25" t="s">
        <v>6992</v>
      </c>
      <c r="C1027" s="22"/>
      <c r="D1027" s="26" t="str">
        <f>HYPERLINK("https://kokusho.nijl.ac.jp/biblio/100232367/74")</f>
        <v>https://kokusho.nijl.ac.jp/biblio/100232367/74</v>
      </c>
      <c r="E1027" s="22"/>
      <c r="F1027" s="22"/>
      <c r="G1027" s="22"/>
    </row>
    <row r="1028" spans="1:7" x14ac:dyDescent="0.15">
      <c r="A1028" s="19" t="s">
        <v>6767</v>
      </c>
      <c r="B1028" s="25" t="s">
        <v>6993</v>
      </c>
      <c r="C1028" s="22"/>
      <c r="D1028" s="26" t="str">
        <f>HYPERLINK("https://kokusho.nijl.ac.jp/biblio/100232367/74")</f>
        <v>https://kokusho.nijl.ac.jp/biblio/100232367/74</v>
      </c>
      <c r="E1028" s="22"/>
      <c r="F1028" s="22"/>
      <c r="G1028" s="22"/>
    </row>
    <row r="1029" spans="1:7" ht="27" x14ac:dyDescent="0.15">
      <c r="A1029" s="19" t="s">
        <v>6767</v>
      </c>
      <c r="B1029" s="25" t="s">
        <v>6994</v>
      </c>
      <c r="C1029" s="22"/>
      <c r="D1029" s="26" t="str">
        <f>HYPERLINK("https://kokusho.nijl.ac.jp/biblio/100232367/74")</f>
        <v>https://kokusho.nijl.ac.jp/biblio/100232367/74</v>
      </c>
      <c r="E1029" s="22"/>
      <c r="F1029" s="22"/>
      <c r="G1029" s="22"/>
    </row>
    <row r="1030" spans="1:7" x14ac:dyDescent="0.15">
      <c r="A1030" s="19" t="s">
        <v>6767</v>
      </c>
      <c r="B1030" s="25" t="s">
        <v>6995</v>
      </c>
      <c r="C1030" s="22"/>
      <c r="D1030" s="26" t="str">
        <f>HYPERLINK("https://kokusho.nijl.ac.jp/biblio/100232367/74")</f>
        <v>https://kokusho.nijl.ac.jp/biblio/100232367/74</v>
      </c>
      <c r="E1030" s="22"/>
      <c r="F1030" s="22"/>
      <c r="G1030" s="22"/>
    </row>
    <row r="1031" spans="1:7" x14ac:dyDescent="0.15">
      <c r="A1031" s="19" t="s">
        <v>6767</v>
      </c>
      <c r="B1031" s="25" t="s">
        <v>6996</v>
      </c>
      <c r="C1031" s="22"/>
      <c r="D1031" s="26" t="str">
        <f>HYPERLINK("https://kokusho.nijl.ac.jp/biblio/100232367/74")</f>
        <v>https://kokusho.nijl.ac.jp/biblio/100232367/74</v>
      </c>
      <c r="E1031" s="22"/>
      <c r="F1031" s="22"/>
      <c r="G1031" s="22"/>
    </row>
    <row r="1032" spans="1:7" x14ac:dyDescent="0.15">
      <c r="A1032" s="19" t="s">
        <v>6767</v>
      </c>
      <c r="B1032" s="25" t="s">
        <v>6997</v>
      </c>
      <c r="C1032" s="22"/>
      <c r="D1032" s="26" t="str">
        <f>HYPERLINK("https://kokusho.nijl.ac.jp/biblio/100232367/75")</f>
        <v>https://kokusho.nijl.ac.jp/biblio/100232367/75</v>
      </c>
      <c r="E1032" s="22"/>
      <c r="F1032" s="22"/>
      <c r="G1032" s="22"/>
    </row>
    <row r="1033" spans="1:7" x14ac:dyDescent="0.15">
      <c r="A1033" s="19" t="s">
        <v>6767</v>
      </c>
      <c r="B1033" s="25" t="s">
        <v>6998</v>
      </c>
      <c r="C1033" s="22"/>
      <c r="D1033" s="26" t="str">
        <f>HYPERLINK("https://kokusho.nijl.ac.jp/biblio/100232367/75")</f>
        <v>https://kokusho.nijl.ac.jp/biblio/100232367/75</v>
      </c>
      <c r="E1033" s="22"/>
      <c r="F1033" s="22"/>
      <c r="G1033" s="22"/>
    </row>
    <row r="1034" spans="1:7" x14ac:dyDescent="0.15">
      <c r="A1034" s="19" t="s">
        <v>6767</v>
      </c>
      <c r="B1034" s="25" t="s">
        <v>6999</v>
      </c>
      <c r="C1034" s="22"/>
      <c r="D1034" s="26" t="str">
        <f>HYPERLINK("https://kokusho.nijl.ac.jp/biblio/100232367/75")</f>
        <v>https://kokusho.nijl.ac.jp/biblio/100232367/75</v>
      </c>
      <c r="E1034" s="22"/>
      <c r="F1034" s="22"/>
      <c r="G1034" s="22"/>
    </row>
    <row r="1035" spans="1:7" x14ac:dyDescent="0.15">
      <c r="A1035" s="19" t="s">
        <v>6767</v>
      </c>
      <c r="B1035" s="25" t="s">
        <v>7000</v>
      </c>
      <c r="C1035" s="22"/>
      <c r="D1035" s="26" t="str">
        <f>HYPERLINK("https://kokusho.nijl.ac.jp/biblio/100232367/75")</f>
        <v>https://kokusho.nijl.ac.jp/biblio/100232367/75</v>
      </c>
      <c r="E1035" s="22"/>
      <c r="F1035" s="22"/>
      <c r="G1035" s="22"/>
    </row>
    <row r="1036" spans="1:7" x14ac:dyDescent="0.15">
      <c r="A1036" s="19" t="s">
        <v>6767</v>
      </c>
      <c r="B1036" s="25" t="s">
        <v>7001</v>
      </c>
      <c r="C1036" s="22"/>
      <c r="D1036" s="26" t="str">
        <f>HYPERLINK("https://kokusho.nijl.ac.jp/biblio/100232367/75")</f>
        <v>https://kokusho.nijl.ac.jp/biblio/100232367/75</v>
      </c>
      <c r="E1036" s="22"/>
      <c r="F1036" s="22"/>
      <c r="G1036" s="22"/>
    </row>
    <row r="1037" spans="1:7" x14ac:dyDescent="0.15">
      <c r="A1037" s="19" t="s">
        <v>6767</v>
      </c>
      <c r="B1037" s="25" t="s">
        <v>7002</v>
      </c>
      <c r="C1037" s="22"/>
      <c r="D1037" s="26" t="str">
        <f t="shared" ref="D1037:D1044" si="59">HYPERLINK("https://kokusho.nijl.ac.jp/biblio/100232367/76")</f>
        <v>https://kokusho.nijl.ac.jp/biblio/100232367/76</v>
      </c>
      <c r="E1037" s="22"/>
      <c r="F1037" s="22"/>
      <c r="G1037" s="22"/>
    </row>
    <row r="1038" spans="1:7" x14ac:dyDescent="0.15">
      <c r="A1038" s="19" t="s">
        <v>6767</v>
      </c>
      <c r="B1038" s="25" t="s">
        <v>7003</v>
      </c>
      <c r="C1038" s="22"/>
      <c r="D1038" s="26" t="str">
        <f t="shared" si="59"/>
        <v>https://kokusho.nijl.ac.jp/biblio/100232367/76</v>
      </c>
      <c r="E1038" s="22"/>
      <c r="F1038" s="22"/>
      <c r="G1038" s="22"/>
    </row>
    <row r="1039" spans="1:7" x14ac:dyDescent="0.15">
      <c r="A1039" s="19" t="s">
        <v>6767</v>
      </c>
      <c r="B1039" s="25" t="s">
        <v>7004</v>
      </c>
      <c r="C1039" s="22"/>
      <c r="D1039" s="26" t="str">
        <f t="shared" si="59"/>
        <v>https://kokusho.nijl.ac.jp/biblio/100232367/76</v>
      </c>
      <c r="E1039" s="22"/>
      <c r="F1039" s="22"/>
      <c r="G1039" s="22"/>
    </row>
    <row r="1040" spans="1:7" x14ac:dyDescent="0.15">
      <c r="A1040" s="19" t="s">
        <v>6767</v>
      </c>
      <c r="B1040" s="25" t="s">
        <v>7005</v>
      </c>
      <c r="C1040" s="22"/>
      <c r="D1040" s="26" t="str">
        <f t="shared" si="59"/>
        <v>https://kokusho.nijl.ac.jp/biblio/100232367/76</v>
      </c>
      <c r="E1040" s="22"/>
      <c r="F1040" s="22"/>
      <c r="G1040" s="22"/>
    </row>
    <row r="1041" spans="1:7" x14ac:dyDescent="0.15">
      <c r="A1041" s="19" t="s">
        <v>6767</v>
      </c>
      <c r="B1041" s="25" t="s">
        <v>7006</v>
      </c>
      <c r="C1041" s="22"/>
      <c r="D1041" s="26" t="str">
        <f t="shared" si="59"/>
        <v>https://kokusho.nijl.ac.jp/biblio/100232367/76</v>
      </c>
      <c r="E1041" s="22"/>
      <c r="F1041" s="22"/>
      <c r="G1041" s="22"/>
    </row>
    <row r="1042" spans="1:7" x14ac:dyDescent="0.15">
      <c r="A1042" s="19" t="s">
        <v>6767</v>
      </c>
      <c r="B1042" s="25" t="s">
        <v>7007</v>
      </c>
      <c r="C1042" s="22"/>
      <c r="D1042" s="26" t="str">
        <f t="shared" si="59"/>
        <v>https://kokusho.nijl.ac.jp/biblio/100232367/76</v>
      </c>
      <c r="E1042" s="22"/>
      <c r="F1042" s="22"/>
      <c r="G1042" s="22"/>
    </row>
    <row r="1043" spans="1:7" x14ac:dyDescent="0.15">
      <c r="A1043" s="19" t="s">
        <v>6767</v>
      </c>
      <c r="B1043" s="25" t="s">
        <v>6526</v>
      </c>
      <c r="C1043" s="22"/>
      <c r="D1043" s="26" t="str">
        <f t="shared" si="59"/>
        <v>https://kokusho.nijl.ac.jp/biblio/100232367/76</v>
      </c>
      <c r="E1043" s="22"/>
      <c r="F1043" s="22"/>
      <c r="G1043" s="22"/>
    </row>
    <row r="1044" spans="1:7" x14ac:dyDescent="0.15">
      <c r="A1044" s="19" t="s">
        <v>6767</v>
      </c>
      <c r="B1044" s="25" t="s">
        <v>7008</v>
      </c>
      <c r="C1044" s="22"/>
      <c r="D1044" s="26" t="str">
        <f t="shared" si="59"/>
        <v>https://kokusho.nijl.ac.jp/biblio/100232367/76</v>
      </c>
      <c r="E1044" s="22"/>
      <c r="F1044" s="22"/>
      <c r="G1044" s="22"/>
    </row>
    <row r="1045" spans="1:7" x14ac:dyDescent="0.15">
      <c r="A1045" s="19" t="s">
        <v>6767</v>
      </c>
      <c r="B1045" s="25" t="s">
        <v>7009</v>
      </c>
      <c r="C1045" s="22"/>
      <c r="D1045" s="26" t="str">
        <f t="shared" ref="D1045:D1050" si="60">HYPERLINK("https://kokusho.nijl.ac.jp/biblio/100232367/77")</f>
        <v>https://kokusho.nijl.ac.jp/biblio/100232367/77</v>
      </c>
      <c r="E1045" s="22"/>
      <c r="F1045" s="22"/>
      <c r="G1045" s="22"/>
    </row>
    <row r="1046" spans="1:7" x14ac:dyDescent="0.15">
      <c r="A1046" s="19" t="s">
        <v>6767</v>
      </c>
      <c r="B1046" s="25" t="s">
        <v>7010</v>
      </c>
      <c r="C1046" s="22"/>
      <c r="D1046" s="26" t="str">
        <f t="shared" si="60"/>
        <v>https://kokusho.nijl.ac.jp/biblio/100232367/77</v>
      </c>
      <c r="E1046" s="22"/>
      <c r="F1046" s="22"/>
      <c r="G1046" s="22"/>
    </row>
    <row r="1047" spans="1:7" x14ac:dyDescent="0.15">
      <c r="A1047" s="19" t="s">
        <v>6767</v>
      </c>
      <c r="B1047" s="25" t="s">
        <v>7011</v>
      </c>
      <c r="C1047" s="22"/>
      <c r="D1047" s="26" t="str">
        <f t="shared" si="60"/>
        <v>https://kokusho.nijl.ac.jp/biblio/100232367/77</v>
      </c>
      <c r="E1047" s="22"/>
      <c r="F1047" s="22"/>
      <c r="G1047" s="22"/>
    </row>
    <row r="1048" spans="1:7" x14ac:dyDescent="0.15">
      <c r="A1048" s="19" t="s">
        <v>6767</v>
      </c>
      <c r="B1048" s="25" t="s">
        <v>7012</v>
      </c>
      <c r="C1048" s="22"/>
      <c r="D1048" s="26" t="str">
        <f t="shared" si="60"/>
        <v>https://kokusho.nijl.ac.jp/biblio/100232367/77</v>
      </c>
      <c r="E1048" s="22"/>
      <c r="F1048" s="22"/>
      <c r="G1048" s="22"/>
    </row>
    <row r="1049" spans="1:7" x14ac:dyDescent="0.15">
      <c r="A1049" s="19" t="s">
        <v>6767</v>
      </c>
      <c r="B1049" s="25" t="s">
        <v>7013</v>
      </c>
      <c r="C1049" s="22"/>
      <c r="D1049" s="26" t="str">
        <f t="shared" si="60"/>
        <v>https://kokusho.nijl.ac.jp/biblio/100232367/77</v>
      </c>
      <c r="E1049" s="22"/>
      <c r="F1049" s="22"/>
      <c r="G1049" s="22"/>
    </row>
    <row r="1050" spans="1:7" x14ac:dyDescent="0.15">
      <c r="A1050" s="19" t="s">
        <v>6767</v>
      </c>
      <c r="B1050" s="25" t="s">
        <v>7014</v>
      </c>
      <c r="C1050" s="22"/>
      <c r="D1050" s="26" t="str">
        <f t="shared" si="60"/>
        <v>https://kokusho.nijl.ac.jp/biblio/100232367/77</v>
      </c>
      <c r="E1050" s="22"/>
      <c r="F1050" s="22"/>
      <c r="G1050" s="22"/>
    </row>
    <row r="1051" spans="1:7" x14ac:dyDescent="0.15">
      <c r="A1051" s="19" t="s">
        <v>6767</v>
      </c>
      <c r="B1051" s="25" t="s">
        <v>7015</v>
      </c>
      <c r="C1051" s="22"/>
      <c r="D1051" s="26" t="str">
        <f t="shared" ref="D1051:D1057" si="61">HYPERLINK("https://kokusho.nijl.ac.jp/biblio/100232367/78")</f>
        <v>https://kokusho.nijl.ac.jp/biblio/100232367/78</v>
      </c>
      <c r="E1051" s="22"/>
      <c r="F1051" s="22"/>
      <c r="G1051" s="22"/>
    </row>
    <row r="1052" spans="1:7" x14ac:dyDescent="0.15">
      <c r="A1052" s="19" t="s">
        <v>6767</v>
      </c>
      <c r="B1052" s="25" t="s">
        <v>7016</v>
      </c>
      <c r="C1052" s="22"/>
      <c r="D1052" s="26" t="str">
        <f t="shared" si="61"/>
        <v>https://kokusho.nijl.ac.jp/biblio/100232367/78</v>
      </c>
      <c r="E1052" s="22"/>
      <c r="F1052" s="22"/>
      <c r="G1052" s="22"/>
    </row>
    <row r="1053" spans="1:7" x14ac:dyDescent="0.15">
      <c r="A1053" s="19" t="s">
        <v>6767</v>
      </c>
      <c r="B1053" s="25" t="s">
        <v>7017</v>
      </c>
      <c r="C1053" s="22"/>
      <c r="D1053" s="26" t="str">
        <f t="shared" si="61"/>
        <v>https://kokusho.nijl.ac.jp/biblio/100232367/78</v>
      </c>
      <c r="E1053" s="22"/>
      <c r="F1053" s="22"/>
      <c r="G1053" s="22"/>
    </row>
    <row r="1054" spans="1:7" x14ac:dyDescent="0.15">
      <c r="A1054" s="19" t="s">
        <v>6767</v>
      </c>
      <c r="B1054" s="25" t="s">
        <v>7018</v>
      </c>
      <c r="C1054" s="22"/>
      <c r="D1054" s="26" t="str">
        <f t="shared" si="61"/>
        <v>https://kokusho.nijl.ac.jp/biblio/100232367/78</v>
      </c>
      <c r="E1054" s="22"/>
      <c r="F1054" s="22"/>
      <c r="G1054" s="22"/>
    </row>
    <row r="1055" spans="1:7" x14ac:dyDescent="0.15">
      <c r="A1055" s="19" t="s">
        <v>6767</v>
      </c>
      <c r="B1055" s="25" t="s">
        <v>7019</v>
      </c>
      <c r="C1055" s="22"/>
      <c r="D1055" s="26" t="str">
        <f t="shared" si="61"/>
        <v>https://kokusho.nijl.ac.jp/biblio/100232367/78</v>
      </c>
      <c r="E1055" s="22"/>
      <c r="F1055" s="22"/>
      <c r="G1055" s="22"/>
    </row>
    <row r="1056" spans="1:7" x14ac:dyDescent="0.15">
      <c r="A1056" s="19" t="s">
        <v>6767</v>
      </c>
      <c r="B1056" s="25" t="s">
        <v>7020</v>
      </c>
      <c r="C1056" s="22"/>
      <c r="D1056" s="26" t="str">
        <f t="shared" si="61"/>
        <v>https://kokusho.nijl.ac.jp/biblio/100232367/78</v>
      </c>
      <c r="E1056" s="22"/>
      <c r="F1056" s="22"/>
      <c r="G1056" s="22"/>
    </row>
    <row r="1057" spans="1:7" x14ac:dyDescent="0.15">
      <c r="A1057" s="19" t="s">
        <v>6767</v>
      </c>
      <c r="B1057" s="25" t="s">
        <v>7021</v>
      </c>
      <c r="C1057" s="22"/>
      <c r="D1057" s="26" t="str">
        <f t="shared" si="61"/>
        <v>https://kokusho.nijl.ac.jp/biblio/100232367/78</v>
      </c>
      <c r="E1057" s="22"/>
      <c r="F1057" s="22"/>
      <c r="G1057" s="22"/>
    </row>
    <row r="1058" spans="1:7" x14ac:dyDescent="0.15">
      <c r="A1058" s="19" t="s">
        <v>6767</v>
      </c>
      <c r="B1058" s="25" t="s">
        <v>7022</v>
      </c>
      <c r="C1058" s="22"/>
      <c r="D1058" s="26" t="str">
        <f t="shared" ref="D1058:D1063" si="62">HYPERLINK("https://kokusho.nijl.ac.jp/biblio/100232367/79")</f>
        <v>https://kokusho.nijl.ac.jp/biblio/100232367/79</v>
      </c>
      <c r="E1058" s="22"/>
      <c r="F1058" s="22"/>
      <c r="G1058" s="22"/>
    </row>
    <row r="1059" spans="1:7" x14ac:dyDescent="0.15">
      <c r="A1059" s="19" t="s">
        <v>6767</v>
      </c>
      <c r="B1059" s="25" t="s">
        <v>7023</v>
      </c>
      <c r="C1059" s="22"/>
      <c r="D1059" s="26" t="str">
        <f t="shared" si="62"/>
        <v>https://kokusho.nijl.ac.jp/biblio/100232367/79</v>
      </c>
      <c r="E1059" s="22"/>
      <c r="F1059" s="22"/>
      <c r="G1059" s="22"/>
    </row>
    <row r="1060" spans="1:7" x14ac:dyDescent="0.15">
      <c r="A1060" s="19" t="s">
        <v>6767</v>
      </c>
      <c r="B1060" s="25" t="s">
        <v>7024</v>
      </c>
      <c r="C1060" s="22"/>
      <c r="D1060" s="26" t="str">
        <f t="shared" si="62"/>
        <v>https://kokusho.nijl.ac.jp/biblio/100232367/79</v>
      </c>
      <c r="E1060" s="22"/>
      <c r="F1060" s="22"/>
      <c r="G1060" s="22"/>
    </row>
    <row r="1061" spans="1:7" x14ac:dyDescent="0.15">
      <c r="A1061" s="19" t="s">
        <v>6767</v>
      </c>
      <c r="B1061" s="25" t="s">
        <v>7025</v>
      </c>
      <c r="C1061" s="22"/>
      <c r="D1061" s="26" t="str">
        <f t="shared" si="62"/>
        <v>https://kokusho.nijl.ac.jp/biblio/100232367/79</v>
      </c>
      <c r="E1061" s="22"/>
      <c r="F1061" s="22"/>
      <c r="G1061" s="22"/>
    </row>
    <row r="1062" spans="1:7" x14ac:dyDescent="0.15">
      <c r="A1062" s="19" t="s">
        <v>6767</v>
      </c>
      <c r="B1062" s="25" t="s">
        <v>7026</v>
      </c>
      <c r="C1062" s="22"/>
      <c r="D1062" s="26" t="str">
        <f t="shared" si="62"/>
        <v>https://kokusho.nijl.ac.jp/biblio/100232367/79</v>
      </c>
      <c r="E1062" s="22"/>
      <c r="F1062" s="22"/>
      <c r="G1062" s="22"/>
    </row>
    <row r="1063" spans="1:7" x14ac:dyDescent="0.15">
      <c r="A1063" s="19" t="s">
        <v>6767</v>
      </c>
      <c r="B1063" s="25" t="s">
        <v>7027</v>
      </c>
      <c r="C1063" s="22"/>
      <c r="D1063" s="26" t="str">
        <f t="shared" si="62"/>
        <v>https://kokusho.nijl.ac.jp/biblio/100232367/79</v>
      </c>
      <c r="E1063" s="22"/>
      <c r="F1063" s="22"/>
      <c r="G1063" s="22"/>
    </row>
    <row r="1064" spans="1:7" x14ac:dyDescent="0.15">
      <c r="A1064" s="19" t="s">
        <v>6767</v>
      </c>
      <c r="B1064" s="25" t="s">
        <v>7028</v>
      </c>
      <c r="C1064" s="22"/>
      <c r="D1064" s="26" t="str">
        <f t="shared" ref="D1064:D1069" si="63">HYPERLINK("https://kokusho.nijl.ac.jp/biblio/100232367/80")</f>
        <v>https://kokusho.nijl.ac.jp/biblio/100232367/80</v>
      </c>
      <c r="E1064" s="22"/>
      <c r="F1064" s="22"/>
      <c r="G1064" s="22"/>
    </row>
    <row r="1065" spans="1:7" x14ac:dyDescent="0.15">
      <c r="A1065" s="19" t="s">
        <v>6767</v>
      </c>
      <c r="B1065" s="25" t="s">
        <v>7029</v>
      </c>
      <c r="C1065" s="22"/>
      <c r="D1065" s="26" t="str">
        <f t="shared" si="63"/>
        <v>https://kokusho.nijl.ac.jp/biblio/100232367/80</v>
      </c>
      <c r="E1065" s="22"/>
      <c r="F1065" s="22"/>
      <c r="G1065" s="22"/>
    </row>
    <row r="1066" spans="1:7" x14ac:dyDescent="0.15">
      <c r="A1066" s="19" t="s">
        <v>6767</v>
      </c>
      <c r="B1066" s="25" t="s">
        <v>7030</v>
      </c>
      <c r="C1066" s="22"/>
      <c r="D1066" s="26" t="str">
        <f t="shared" si="63"/>
        <v>https://kokusho.nijl.ac.jp/biblio/100232367/80</v>
      </c>
      <c r="E1066" s="22"/>
      <c r="F1066" s="22"/>
      <c r="G1066" s="22"/>
    </row>
    <row r="1067" spans="1:7" x14ac:dyDescent="0.15">
      <c r="A1067" s="19" t="s">
        <v>6767</v>
      </c>
      <c r="B1067" s="25" t="s">
        <v>7031</v>
      </c>
      <c r="C1067" s="22"/>
      <c r="D1067" s="26" t="str">
        <f t="shared" si="63"/>
        <v>https://kokusho.nijl.ac.jp/biblio/100232367/80</v>
      </c>
      <c r="E1067" s="22"/>
      <c r="F1067" s="22"/>
      <c r="G1067" s="22"/>
    </row>
    <row r="1068" spans="1:7" x14ac:dyDescent="0.15">
      <c r="A1068" s="19" t="s">
        <v>6767</v>
      </c>
      <c r="B1068" s="25" t="s">
        <v>7032</v>
      </c>
      <c r="C1068" s="22"/>
      <c r="D1068" s="26" t="str">
        <f t="shared" si="63"/>
        <v>https://kokusho.nijl.ac.jp/biblio/100232367/80</v>
      </c>
      <c r="E1068" s="22"/>
      <c r="F1068" s="22"/>
      <c r="G1068" s="22"/>
    </row>
    <row r="1069" spans="1:7" ht="18.75" x14ac:dyDescent="0.15">
      <c r="A1069" s="19" t="s">
        <v>6767</v>
      </c>
      <c r="B1069" s="25" t="s">
        <v>8957</v>
      </c>
      <c r="C1069" s="22"/>
      <c r="D1069" s="26" t="str">
        <f t="shared" si="63"/>
        <v>https://kokusho.nijl.ac.jp/biblio/100232367/80</v>
      </c>
      <c r="E1069" s="22"/>
      <c r="F1069" s="22"/>
      <c r="G1069" s="22"/>
    </row>
    <row r="1070" spans="1:7" x14ac:dyDescent="0.15">
      <c r="A1070" s="19" t="s">
        <v>6767</v>
      </c>
      <c r="B1070" s="25" t="s">
        <v>7033</v>
      </c>
      <c r="C1070" s="22"/>
      <c r="D1070" s="26" t="str">
        <f t="shared" ref="D1070:D1077" si="64">HYPERLINK("https://kokusho.nijl.ac.jp/biblio/100232367/81")</f>
        <v>https://kokusho.nijl.ac.jp/biblio/100232367/81</v>
      </c>
      <c r="E1070" s="22"/>
      <c r="F1070" s="22"/>
      <c r="G1070" s="22"/>
    </row>
    <row r="1071" spans="1:7" x14ac:dyDescent="0.15">
      <c r="A1071" s="19" t="s">
        <v>6767</v>
      </c>
      <c r="B1071" s="25" t="s">
        <v>7034</v>
      </c>
      <c r="C1071" s="22"/>
      <c r="D1071" s="26" t="str">
        <f t="shared" si="64"/>
        <v>https://kokusho.nijl.ac.jp/biblio/100232367/81</v>
      </c>
      <c r="E1071" s="22"/>
      <c r="F1071" s="22"/>
      <c r="G1071" s="22"/>
    </row>
    <row r="1072" spans="1:7" x14ac:dyDescent="0.15">
      <c r="A1072" s="19" t="s">
        <v>6767</v>
      </c>
      <c r="B1072" s="25" t="s">
        <v>7035</v>
      </c>
      <c r="C1072" s="22"/>
      <c r="D1072" s="26" t="str">
        <f t="shared" si="64"/>
        <v>https://kokusho.nijl.ac.jp/biblio/100232367/81</v>
      </c>
      <c r="E1072" s="22"/>
      <c r="F1072" s="22"/>
      <c r="G1072" s="22"/>
    </row>
    <row r="1073" spans="1:7" x14ac:dyDescent="0.15">
      <c r="A1073" s="19" t="s">
        <v>6767</v>
      </c>
      <c r="B1073" s="25" t="s">
        <v>7036</v>
      </c>
      <c r="C1073" s="22"/>
      <c r="D1073" s="26" t="str">
        <f t="shared" si="64"/>
        <v>https://kokusho.nijl.ac.jp/biblio/100232367/81</v>
      </c>
      <c r="E1073" s="22"/>
      <c r="F1073" s="22"/>
      <c r="G1073" s="22"/>
    </row>
    <row r="1074" spans="1:7" x14ac:dyDescent="0.15">
      <c r="A1074" s="19" t="s">
        <v>6767</v>
      </c>
      <c r="B1074" s="25" t="s">
        <v>7037</v>
      </c>
      <c r="C1074" s="22"/>
      <c r="D1074" s="26" t="str">
        <f t="shared" si="64"/>
        <v>https://kokusho.nijl.ac.jp/biblio/100232367/81</v>
      </c>
      <c r="E1074" s="22"/>
      <c r="F1074" s="22"/>
      <c r="G1074" s="22"/>
    </row>
    <row r="1075" spans="1:7" x14ac:dyDescent="0.15">
      <c r="A1075" s="19" t="s">
        <v>6767</v>
      </c>
      <c r="B1075" s="25" t="s">
        <v>7038</v>
      </c>
      <c r="C1075" s="22"/>
      <c r="D1075" s="26" t="str">
        <f t="shared" si="64"/>
        <v>https://kokusho.nijl.ac.jp/biblio/100232367/81</v>
      </c>
      <c r="E1075" s="22"/>
      <c r="F1075" s="22"/>
      <c r="G1075" s="22"/>
    </row>
    <row r="1076" spans="1:7" x14ac:dyDescent="0.15">
      <c r="A1076" s="19" t="s">
        <v>6767</v>
      </c>
      <c r="B1076" s="25" t="s">
        <v>7039</v>
      </c>
      <c r="C1076" s="22"/>
      <c r="D1076" s="26" t="str">
        <f t="shared" si="64"/>
        <v>https://kokusho.nijl.ac.jp/biblio/100232367/81</v>
      </c>
      <c r="E1076" s="22"/>
      <c r="F1076" s="22"/>
      <c r="G1076" s="22"/>
    </row>
    <row r="1077" spans="1:7" ht="40.5" x14ac:dyDescent="0.15">
      <c r="A1077" s="19" t="s">
        <v>6767</v>
      </c>
      <c r="B1077" s="25" t="s">
        <v>7040</v>
      </c>
      <c r="C1077" s="22"/>
      <c r="D1077" s="26" t="str">
        <f t="shared" si="64"/>
        <v>https://kokusho.nijl.ac.jp/biblio/100232367/81</v>
      </c>
      <c r="E1077" s="22"/>
      <c r="F1077" s="22"/>
      <c r="G1077" s="22"/>
    </row>
    <row r="1078" spans="1:7" x14ac:dyDescent="0.15">
      <c r="A1078" s="19" t="s">
        <v>6767</v>
      </c>
      <c r="B1078" s="25" t="s">
        <v>6490</v>
      </c>
      <c r="C1078" s="22"/>
      <c r="D1078" s="26" t="str">
        <f t="shared" ref="D1078:D1083" si="65">HYPERLINK("https://kokusho.nijl.ac.jp/biblio/100232367/82")</f>
        <v>https://kokusho.nijl.ac.jp/biblio/100232367/82</v>
      </c>
      <c r="E1078" s="22"/>
      <c r="F1078" s="22"/>
      <c r="G1078" s="22"/>
    </row>
    <row r="1079" spans="1:7" x14ac:dyDescent="0.15">
      <c r="A1079" s="19" t="s">
        <v>6767</v>
      </c>
      <c r="B1079" s="25" t="s">
        <v>6494</v>
      </c>
      <c r="C1079" s="22"/>
      <c r="D1079" s="26" t="str">
        <f t="shared" si="65"/>
        <v>https://kokusho.nijl.ac.jp/biblio/100232367/82</v>
      </c>
      <c r="E1079" s="22"/>
      <c r="F1079" s="22"/>
      <c r="G1079" s="22"/>
    </row>
    <row r="1080" spans="1:7" x14ac:dyDescent="0.15">
      <c r="A1080" s="19" t="s">
        <v>6767</v>
      </c>
      <c r="B1080" s="25" t="s">
        <v>6498</v>
      </c>
      <c r="C1080" s="22"/>
      <c r="D1080" s="26" t="str">
        <f t="shared" si="65"/>
        <v>https://kokusho.nijl.ac.jp/biblio/100232367/82</v>
      </c>
      <c r="E1080" s="22"/>
      <c r="F1080" s="22"/>
      <c r="G1080" s="22"/>
    </row>
    <row r="1081" spans="1:7" x14ac:dyDescent="0.15">
      <c r="A1081" s="19" t="s">
        <v>6767</v>
      </c>
      <c r="B1081" s="25" t="s">
        <v>7041</v>
      </c>
      <c r="C1081" s="22"/>
      <c r="D1081" s="26" t="str">
        <f t="shared" si="65"/>
        <v>https://kokusho.nijl.ac.jp/biblio/100232367/82</v>
      </c>
      <c r="E1081" s="22"/>
      <c r="F1081" s="22"/>
      <c r="G1081" s="22"/>
    </row>
    <row r="1082" spans="1:7" x14ac:dyDescent="0.15">
      <c r="A1082" s="19" t="s">
        <v>6767</v>
      </c>
      <c r="B1082" s="25" t="s">
        <v>7042</v>
      </c>
      <c r="C1082" s="22"/>
      <c r="D1082" s="26" t="str">
        <f t="shared" si="65"/>
        <v>https://kokusho.nijl.ac.jp/biblio/100232367/82</v>
      </c>
      <c r="E1082" s="22"/>
      <c r="F1082" s="22"/>
      <c r="G1082" s="22"/>
    </row>
    <row r="1083" spans="1:7" x14ac:dyDescent="0.15">
      <c r="A1083" s="19" t="s">
        <v>6767</v>
      </c>
      <c r="B1083" s="25" t="s">
        <v>7043</v>
      </c>
      <c r="C1083" s="22"/>
      <c r="D1083" s="26" t="str">
        <f t="shared" si="65"/>
        <v>https://kokusho.nijl.ac.jp/biblio/100232367/82</v>
      </c>
      <c r="E1083" s="22"/>
      <c r="F1083" s="22"/>
      <c r="G1083" s="22"/>
    </row>
    <row r="1084" spans="1:7" x14ac:dyDescent="0.15">
      <c r="A1084" s="19" t="s">
        <v>6767</v>
      </c>
      <c r="B1084" s="25" t="s">
        <v>7044</v>
      </c>
      <c r="C1084" s="22"/>
      <c r="D1084" s="26" t="str">
        <f t="shared" ref="D1084:D1089" si="66">HYPERLINK("https://kokusho.nijl.ac.jp/biblio/100232367/83")</f>
        <v>https://kokusho.nijl.ac.jp/biblio/100232367/83</v>
      </c>
      <c r="E1084" s="22"/>
      <c r="F1084" s="22"/>
      <c r="G1084" s="22"/>
    </row>
    <row r="1085" spans="1:7" x14ac:dyDescent="0.15">
      <c r="A1085" s="19" t="s">
        <v>6767</v>
      </c>
      <c r="B1085" s="25" t="s">
        <v>7045</v>
      </c>
      <c r="C1085" s="22"/>
      <c r="D1085" s="26" t="str">
        <f t="shared" si="66"/>
        <v>https://kokusho.nijl.ac.jp/biblio/100232367/83</v>
      </c>
      <c r="E1085" s="22"/>
      <c r="F1085" s="22"/>
      <c r="G1085" s="22"/>
    </row>
    <row r="1086" spans="1:7" x14ac:dyDescent="0.15">
      <c r="A1086" s="19" t="s">
        <v>6767</v>
      </c>
      <c r="B1086" s="25" t="s">
        <v>6506</v>
      </c>
      <c r="C1086" s="22"/>
      <c r="D1086" s="26" t="str">
        <f t="shared" si="66"/>
        <v>https://kokusho.nijl.ac.jp/biblio/100232367/83</v>
      </c>
      <c r="E1086" s="22"/>
      <c r="F1086" s="22"/>
      <c r="G1086" s="22"/>
    </row>
    <row r="1087" spans="1:7" x14ac:dyDescent="0.15">
      <c r="A1087" s="19" t="s">
        <v>6767</v>
      </c>
      <c r="B1087" s="25" t="s">
        <v>7046</v>
      </c>
      <c r="C1087" s="22"/>
      <c r="D1087" s="26" t="str">
        <f t="shared" si="66"/>
        <v>https://kokusho.nijl.ac.jp/biblio/100232367/83</v>
      </c>
      <c r="E1087" s="22"/>
      <c r="F1087" s="22"/>
      <c r="G1087" s="22"/>
    </row>
    <row r="1088" spans="1:7" x14ac:dyDescent="0.15">
      <c r="A1088" s="19" t="s">
        <v>6767</v>
      </c>
      <c r="B1088" s="25" t="s">
        <v>7047</v>
      </c>
      <c r="C1088" s="22"/>
      <c r="D1088" s="26" t="str">
        <f t="shared" si="66"/>
        <v>https://kokusho.nijl.ac.jp/biblio/100232367/83</v>
      </c>
      <c r="E1088" s="22"/>
      <c r="F1088" s="22"/>
      <c r="G1088" s="22"/>
    </row>
    <row r="1089" spans="1:7" x14ac:dyDescent="0.15">
      <c r="A1089" s="19" t="s">
        <v>6767</v>
      </c>
      <c r="B1089" s="25" t="s">
        <v>7048</v>
      </c>
      <c r="C1089" s="22"/>
      <c r="D1089" s="26" t="str">
        <f t="shared" si="66"/>
        <v>https://kokusho.nijl.ac.jp/biblio/100232367/83</v>
      </c>
      <c r="E1089" s="22"/>
      <c r="F1089" s="22"/>
      <c r="G1089" s="22"/>
    </row>
    <row r="1090" spans="1:7" x14ac:dyDescent="0.15">
      <c r="A1090" s="19" t="s">
        <v>6767</v>
      </c>
      <c r="B1090" s="25" t="s">
        <v>7049</v>
      </c>
      <c r="C1090" s="22"/>
      <c r="D1090" s="26" t="str">
        <f>HYPERLINK("https://kokusho.nijl.ac.jp/biblio/100232367/84")</f>
        <v>https://kokusho.nijl.ac.jp/biblio/100232367/84</v>
      </c>
      <c r="E1090" s="22"/>
      <c r="F1090" s="22"/>
      <c r="G1090" s="22"/>
    </row>
    <row r="1091" spans="1:7" x14ac:dyDescent="0.15">
      <c r="A1091" s="19" t="s">
        <v>6767</v>
      </c>
      <c r="B1091" s="25" t="s">
        <v>7050</v>
      </c>
      <c r="C1091" s="22"/>
      <c r="D1091" s="26" t="str">
        <f>HYPERLINK("https://kokusho.nijl.ac.jp/biblio/100232367/84")</f>
        <v>https://kokusho.nijl.ac.jp/biblio/100232367/84</v>
      </c>
      <c r="E1091" s="22"/>
      <c r="F1091" s="22"/>
      <c r="G1091" s="22"/>
    </row>
    <row r="1092" spans="1:7" x14ac:dyDescent="0.15">
      <c r="A1092" s="19" t="s">
        <v>6767</v>
      </c>
      <c r="B1092" s="25" t="s">
        <v>7051</v>
      </c>
      <c r="C1092" s="22"/>
      <c r="D1092" s="26" t="str">
        <f>HYPERLINK("https://kokusho.nijl.ac.jp/biblio/100232367/84")</f>
        <v>https://kokusho.nijl.ac.jp/biblio/100232367/84</v>
      </c>
      <c r="E1092" s="22"/>
      <c r="F1092" s="22"/>
      <c r="G1092" s="22"/>
    </row>
    <row r="1093" spans="1:7" x14ac:dyDescent="0.15">
      <c r="A1093" s="19" t="s">
        <v>6767</v>
      </c>
      <c r="B1093" s="25" t="s">
        <v>7052</v>
      </c>
      <c r="C1093" s="22"/>
      <c r="D1093" s="26" t="str">
        <f>HYPERLINK("https://kokusho.nijl.ac.jp/biblio/100232367/84")</f>
        <v>https://kokusho.nijl.ac.jp/biblio/100232367/84</v>
      </c>
      <c r="E1093" s="22"/>
      <c r="F1093" s="22"/>
      <c r="G1093" s="22"/>
    </row>
    <row r="1094" spans="1:7" x14ac:dyDescent="0.15">
      <c r="A1094" s="19" t="s">
        <v>6767</v>
      </c>
      <c r="B1094" s="25" t="s">
        <v>7053</v>
      </c>
      <c r="C1094" s="22"/>
      <c r="D1094" s="26" t="str">
        <f>HYPERLINK("https://kokusho.nijl.ac.jp/biblio/100232367/84")</f>
        <v>https://kokusho.nijl.ac.jp/biblio/100232367/84</v>
      </c>
      <c r="E1094" s="22"/>
      <c r="F1094" s="22"/>
      <c r="G1094" s="22"/>
    </row>
    <row r="1095" spans="1:7" x14ac:dyDescent="0.15">
      <c r="A1095" s="19" t="s">
        <v>6767</v>
      </c>
      <c r="B1095" s="25" t="s">
        <v>7054</v>
      </c>
      <c r="C1095" s="22"/>
      <c r="D1095" s="26" t="str">
        <f>HYPERLINK("https://kokusho.nijl.ac.jp/biblio/100232367/85")</f>
        <v>https://kokusho.nijl.ac.jp/biblio/100232367/85</v>
      </c>
      <c r="E1095" s="22"/>
      <c r="F1095" s="22"/>
      <c r="G1095" s="22"/>
    </row>
    <row r="1096" spans="1:7" x14ac:dyDescent="0.15">
      <c r="A1096" s="19" t="s">
        <v>6767</v>
      </c>
      <c r="B1096" s="25" t="s">
        <v>7055</v>
      </c>
      <c r="C1096" s="22"/>
      <c r="D1096" s="26" t="str">
        <f>HYPERLINK("https://kokusho.nijl.ac.jp/biblio/100232367/85")</f>
        <v>https://kokusho.nijl.ac.jp/biblio/100232367/85</v>
      </c>
      <c r="E1096" s="22"/>
      <c r="F1096" s="22"/>
      <c r="G1096" s="22"/>
    </row>
    <row r="1097" spans="1:7" x14ac:dyDescent="0.15">
      <c r="A1097" s="19" t="s">
        <v>6767</v>
      </c>
      <c r="B1097" s="25" t="s">
        <v>6502</v>
      </c>
      <c r="C1097" s="22"/>
      <c r="D1097" s="26" t="str">
        <f>HYPERLINK("https://kokusho.nijl.ac.jp/biblio/100232367/85")</f>
        <v>https://kokusho.nijl.ac.jp/biblio/100232367/85</v>
      </c>
      <c r="E1097" s="22"/>
      <c r="F1097" s="22"/>
      <c r="G1097" s="22"/>
    </row>
    <row r="1098" spans="1:7" x14ac:dyDescent="0.15">
      <c r="A1098" s="19" t="s">
        <v>6767</v>
      </c>
      <c r="B1098" s="25" t="s">
        <v>7056</v>
      </c>
      <c r="C1098" s="22"/>
      <c r="D1098" s="26" t="str">
        <f>HYPERLINK("https://kokusho.nijl.ac.jp/biblio/100232367/85")</f>
        <v>https://kokusho.nijl.ac.jp/biblio/100232367/85</v>
      </c>
      <c r="E1098" s="22"/>
      <c r="F1098" s="22"/>
      <c r="G1098" s="22"/>
    </row>
    <row r="1099" spans="1:7" x14ac:dyDescent="0.15">
      <c r="A1099" s="19" t="s">
        <v>6767</v>
      </c>
      <c r="B1099" s="25" t="s">
        <v>7057</v>
      </c>
      <c r="C1099" s="22"/>
      <c r="D1099" s="26" t="str">
        <f>HYPERLINK("https://kokusho.nijl.ac.jp/biblio/100232367/86")</f>
        <v>https://kokusho.nijl.ac.jp/biblio/100232367/86</v>
      </c>
      <c r="E1099" s="22"/>
      <c r="F1099" s="22"/>
      <c r="G1099" s="22"/>
    </row>
    <row r="1100" spans="1:7" x14ac:dyDescent="0.15">
      <c r="A1100" s="19" t="s">
        <v>6767</v>
      </c>
      <c r="B1100" s="25" t="s">
        <v>7058</v>
      </c>
      <c r="C1100" s="22"/>
      <c r="D1100" s="26" t="str">
        <f>HYPERLINK("https://kokusho.nijl.ac.jp/biblio/100232367/86")</f>
        <v>https://kokusho.nijl.ac.jp/biblio/100232367/86</v>
      </c>
      <c r="E1100" s="22"/>
      <c r="F1100" s="22"/>
      <c r="G1100" s="22"/>
    </row>
    <row r="1101" spans="1:7" x14ac:dyDescent="0.15">
      <c r="A1101" s="19" t="s">
        <v>6767</v>
      </c>
      <c r="B1101" s="25" t="s">
        <v>7059</v>
      </c>
      <c r="C1101" s="22"/>
      <c r="D1101" s="26" t="str">
        <f>HYPERLINK("https://kokusho.nijl.ac.jp/biblio/100232367/86")</f>
        <v>https://kokusho.nijl.ac.jp/biblio/100232367/86</v>
      </c>
      <c r="E1101" s="22"/>
      <c r="F1101" s="22"/>
      <c r="G1101" s="22"/>
    </row>
    <row r="1102" spans="1:7" x14ac:dyDescent="0.15">
      <c r="A1102" s="19" t="s">
        <v>6767</v>
      </c>
      <c r="B1102" s="25" t="s">
        <v>7060</v>
      </c>
      <c r="C1102" s="22"/>
      <c r="D1102" s="26" t="str">
        <f>HYPERLINK("https://kokusho.nijl.ac.jp/biblio/100232367/86")</f>
        <v>https://kokusho.nijl.ac.jp/biblio/100232367/86</v>
      </c>
      <c r="E1102" s="22"/>
      <c r="F1102" s="22"/>
      <c r="G1102" s="22"/>
    </row>
    <row r="1103" spans="1:7" x14ac:dyDescent="0.15">
      <c r="A1103" s="19" t="s">
        <v>6767</v>
      </c>
      <c r="B1103" s="25" t="s">
        <v>7061</v>
      </c>
      <c r="C1103" s="22"/>
      <c r="D1103" s="26" t="str">
        <f>HYPERLINK("https://kokusho.nijl.ac.jp/biblio/100232367/87")</f>
        <v>https://kokusho.nijl.ac.jp/biblio/100232367/87</v>
      </c>
      <c r="E1103" s="22"/>
      <c r="F1103" s="22"/>
      <c r="G1103" s="22"/>
    </row>
    <row r="1104" spans="1:7" x14ac:dyDescent="0.15">
      <c r="A1104" s="19" t="s">
        <v>6767</v>
      </c>
      <c r="B1104" s="25" t="s">
        <v>7062</v>
      </c>
      <c r="C1104" s="22"/>
      <c r="D1104" s="26" t="str">
        <f>HYPERLINK("https://kokusho.nijl.ac.jp/biblio/100232367/87")</f>
        <v>https://kokusho.nijl.ac.jp/biblio/100232367/87</v>
      </c>
      <c r="E1104" s="22"/>
      <c r="F1104" s="22"/>
      <c r="G1104" s="22"/>
    </row>
    <row r="1105" spans="1:7" x14ac:dyDescent="0.15">
      <c r="A1105" s="19" t="s">
        <v>6767</v>
      </c>
      <c r="B1105" s="25" t="s">
        <v>7063</v>
      </c>
      <c r="C1105" s="22"/>
      <c r="D1105" s="26" t="str">
        <f>HYPERLINK("https://kokusho.nijl.ac.jp/biblio/100232367/87")</f>
        <v>https://kokusho.nijl.ac.jp/biblio/100232367/87</v>
      </c>
      <c r="E1105" s="22"/>
      <c r="F1105" s="22"/>
      <c r="G1105" s="22"/>
    </row>
    <row r="1106" spans="1:7" x14ac:dyDescent="0.15">
      <c r="A1106" s="19" t="s">
        <v>6767</v>
      </c>
      <c r="B1106" s="25" t="s">
        <v>7064</v>
      </c>
      <c r="C1106" s="22"/>
      <c r="D1106" s="26" t="str">
        <f>HYPERLINK("https://kokusho.nijl.ac.jp/biblio/100232367/88")</f>
        <v>https://kokusho.nijl.ac.jp/biblio/100232367/88</v>
      </c>
      <c r="E1106" s="22"/>
      <c r="F1106" s="22"/>
      <c r="G1106" s="22"/>
    </row>
    <row r="1107" spans="1:7" x14ac:dyDescent="0.15">
      <c r="A1107" s="19" t="s">
        <v>6767</v>
      </c>
      <c r="B1107" s="25" t="s">
        <v>7065</v>
      </c>
      <c r="C1107" s="22"/>
      <c r="D1107" s="26" t="str">
        <f>HYPERLINK("https://kokusho.nijl.ac.jp/biblio/100232367/88")</f>
        <v>https://kokusho.nijl.ac.jp/biblio/100232367/88</v>
      </c>
      <c r="E1107" s="22"/>
      <c r="F1107" s="22"/>
      <c r="G1107" s="22"/>
    </row>
    <row r="1108" spans="1:7" x14ac:dyDescent="0.15">
      <c r="A1108" s="19" t="s">
        <v>6767</v>
      </c>
      <c r="B1108" s="25" t="s">
        <v>7066</v>
      </c>
      <c r="C1108" s="22"/>
      <c r="D1108" s="26" t="str">
        <f>HYPERLINK("https://kokusho.nijl.ac.jp/biblio/100232367/88")</f>
        <v>https://kokusho.nijl.ac.jp/biblio/100232367/88</v>
      </c>
      <c r="E1108" s="22"/>
      <c r="F1108" s="22"/>
      <c r="G1108" s="22"/>
    </row>
    <row r="1109" spans="1:7" ht="27" x14ac:dyDescent="0.15">
      <c r="A1109" s="19" t="s">
        <v>6767</v>
      </c>
      <c r="B1109" s="25" t="s">
        <v>7067</v>
      </c>
      <c r="C1109" s="22"/>
      <c r="D1109" s="26" t="str">
        <f t="shared" ref="D1109:D1114" si="67">HYPERLINK("https://kokusho.nijl.ac.jp/biblio/100232367/90")</f>
        <v>https://kokusho.nijl.ac.jp/biblio/100232367/90</v>
      </c>
      <c r="E1109" s="22"/>
      <c r="F1109" s="22"/>
      <c r="G1109" s="22"/>
    </row>
    <row r="1110" spans="1:7" x14ac:dyDescent="0.15">
      <c r="A1110" s="19" t="s">
        <v>6767</v>
      </c>
      <c r="B1110" s="25" t="s">
        <v>7068</v>
      </c>
      <c r="C1110" s="22"/>
      <c r="D1110" s="26" t="str">
        <f t="shared" si="67"/>
        <v>https://kokusho.nijl.ac.jp/biblio/100232367/90</v>
      </c>
      <c r="E1110" s="22"/>
      <c r="F1110" s="22"/>
      <c r="G1110" s="22"/>
    </row>
    <row r="1111" spans="1:7" x14ac:dyDescent="0.15">
      <c r="A1111" s="19" t="s">
        <v>6767</v>
      </c>
      <c r="B1111" s="25" t="s">
        <v>7069</v>
      </c>
      <c r="C1111" s="22"/>
      <c r="D1111" s="26" t="str">
        <f t="shared" si="67"/>
        <v>https://kokusho.nijl.ac.jp/biblio/100232367/90</v>
      </c>
      <c r="E1111" s="22"/>
      <c r="F1111" s="22"/>
      <c r="G1111" s="22"/>
    </row>
    <row r="1112" spans="1:7" x14ac:dyDescent="0.15">
      <c r="A1112" s="19" t="s">
        <v>6767</v>
      </c>
      <c r="B1112" s="25" t="s">
        <v>7070</v>
      </c>
      <c r="C1112" s="22"/>
      <c r="D1112" s="26" t="str">
        <f t="shared" si="67"/>
        <v>https://kokusho.nijl.ac.jp/biblio/100232367/90</v>
      </c>
      <c r="E1112" s="22"/>
      <c r="F1112" s="22"/>
      <c r="G1112" s="22"/>
    </row>
    <row r="1113" spans="1:7" x14ac:dyDescent="0.15">
      <c r="A1113" s="19" t="s">
        <v>6767</v>
      </c>
      <c r="B1113" s="25" t="s">
        <v>7071</v>
      </c>
      <c r="C1113" s="22"/>
      <c r="D1113" s="26" t="str">
        <f t="shared" si="67"/>
        <v>https://kokusho.nijl.ac.jp/biblio/100232367/90</v>
      </c>
      <c r="E1113" s="22"/>
      <c r="F1113" s="22"/>
      <c r="G1113" s="22"/>
    </row>
    <row r="1114" spans="1:7" x14ac:dyDescent="0.15">
      <c r="A1114" s="19" t="s">
        <v>6767</v>
      </c>
      <c r="B1114" s="25" t="s">
        <v>7072</v>
      </c>
      <c r="C1114" s="22"/>
      <c r="D1114" s="26" t="str">
        <f t="shared" si="67"/>
        <v>https://kokusho.nijl.ac.jp/biblio/100232367/90</v>
      </c>
      <c r="E1114" s="22"/>
      <c r="F1114" s="22"/>
      <c r="G1114" s="22"/>
    </row>
    <row r="1115" spans="1:7" x14ac:dyDescent="0.15">
      <c r="A1115" s="19" t="s">
        <v>6767</v>
      </c>
      <c r="B1115" s="25" t="s">
        <v>7073</v>
      </c>
      <c r="C1115" s="22"/>
      <c r="D1115" s="26" t="str">
        <f t="shared" ref="D1115:D1123" si="68">HYPERLINK("https://kokusho.nijl.ac.jp/biblio/100232367/91")</f>
        <v>https://kokusho.nijl.ac.jp/biblio/100232367/91</v>
      </c>
      <c r="E1115" s="22"/>
      <c r="F1115" s="22"/>
      <c r="G1115" s="22"/>
    </row>
    <row r="1116" spans="1:7" x14ac:dyDescent="0.15">
      <c r="A1116" s="19" t="s">
        <v>6767</v>
      </c>
      <c r="B1116" s="25" t="s">
        <v>7074</v>
      </c>
      <c r="C1116" s="22"/>
      <c r="D1116" s="26" t="str">
        <f t="shared" si="68"/>
        <v>https://kokusho.nijl.ac.jp/biblio/100232367/91</v>
      </c>
      <c r="E1116" s="22"/>
      <c r="F1116" s="22"/>
      <c r="G1116" s="22"/>
    </row>
    <row r="1117" spans="1:7" x14ac:dyDescent="0.15">
      <c r="A1117" s="19" t="s">
        <v>6767</v>
      </c>
      <c r="B1117" s="25" t="s">
        <v>7075</v>
      </c>
      <c r="C1117" s="22"/>
      <c r="D1117" s="26" t="str">
        <f t="shared" si="68"/>
        <v>https://kokusho.nijl.ac.jp/biblio/100232367/91</v>
      </c>
      <c r="E1117" s="22"/>
      <c r="F1117" s="22"/>
      <c r="G1117" s="22"/>
    </row>
    <row r="1118" spans="1:7" x14ac:dyDescent="0.15">
      <c r="A1118" s="19" t="s">
        <v>6767</v>
      </c>
      <c r="B1118" s="25" t="s">
        <v>7076</v>
      </c>
      <c r="C1118" s="22"/>
      <c r="D1118" s="26" t="str">
        <f t="shared" si="68"/>
        <v>https://kokusho.nijl.ac.jp/biblio/100232367/91</v>
      </c>
      <c r="E1118" s="22"/>
      <c r="F1118" s="22"/>
      <c r="G1118" s="22"/>
    </row>
    <row r="1119" spans="1:7" x14ac:dyDescent="0.15">
      <c r="A1119" s="19" t="s">
        <v>6767</v>
      </c>
      <c r="B1119" s="25" t="s">
        <v>7077</v>
      </c>
      <c r="C1119" s="22"/>
      <c r="D1119" s="26" t="str">
        <f t="shared" si="68"/>
        <v>https://kokusho.nijl.ac.jp/biblio/100232367/91</v>
      </c>
      <c r="E1119" s="22"/>
      <c r="F1119" s="22"/>
      <c r="G1119" s="22"/>
    </row>
    <row r="1120" spans="1:7" x14ac:dyDescent="0.15">
      <c r="A1120" s="19" t="s">
        <v>6767</v>
      </c>
      <c r="B1120" s="25" t="s">
        <v>7078</v>
      </c>
      <c r="C1120" s="22"/>
      <c r="D1120" s="26" t="str">
        <f t="shared" si="68"/>
        <v>https://kokusho.nijl.ac.jp/biblio/100232367/91</v>
      </c>
      <c r="E1120" s="22"/>
      <c r="F1120" s="22"/>
      <c r="G1120" s="22"/>
    </row>
    <row r="1121" spans="1:7" x14ac:dyDescent="0.15">
      <c r="A1121" s="19" t="s">
        <v>6767</v>
      </c>
      <c r="B1121" s="25" t="s">
        <v>7079</v>
      </c>
      <c r="C1121" s="22"/>
      <c r="D1121" s="26" t="str">
        <f t="shared" si="68"/>
        <v>https://kokusho.nijl.ac.jp/biblio/100232367/91</v>
      </c>
      <c r="E1121" s="22"/>
      <c r="F1121" s="22"/>
      <c r="G1121" s="22"/>
    </row>
    <row r="1122" spans="1:7" x14ac:dyDescent="0.15">
      <c r="A1122" s="19" t="s">
        <v>6767</v>
      </c>
      <c r="B1122" s="25" t="s">
        <v>7080</v>
      </c>
      <c r="C1122" s="22"/>
      <c r="D1122" s="26" t="str">
        <f t="shared" si="68"/>
        <v>https://kokusho.nijl.ac.jp/biblio/100232367/91</v>
      </c>
      <c r="E1122" s="22"/>
      <c r="F1122" s="22"/>
      <c r="G1122" s="22"/>
    </row>
    <row r="1123" spans="1:7" x14ac:dyDescent="0.15">
      <c r="A1123" s="19" t="s">
        <v>6767</v>
      </c>
      <c r="B1123" s="25" t="s">
        <v>7081</v>
      </c>
      <c r="C1123" s="22"/>
      <c r="D1123" s="26" t="str">
        <f t="shared" si="68"/>
        <v>https://kokusho.nijl.ac.jp/biblio/100232367/91</v>
      </c>
      <c r="E1123" s="22"/>
      <c r="F1123" s="22"/>
      <c r="G1123" s="22"/>
    </row>
    <row r="1124" spans="1:7" x14ac:dyDescent="0.15">
      <c r="A1124" s="19" t="s">
        <v>6767</v>
      </c>
      <c r="B1124" s="25" t="s">
        <v>7082</v>
      </c>
      <c r="C1124" s="22"/>
      <c r="D1124" s="26" t="str">
        <f t="shared" ref="D1124:D1130" si="69">HYPERLINK("https://kokusho.nijl.ac.jp/biblio/100232367/92")</f>
        <v>https://kokusho.nijl.ac.jp/biblio/100232367/92</v>
      </c>
      <c r="E1124" s="22"/>
      <c r="F1124" s="22"/>
      <c r="G1124" s="22"/>
    </row>
    <row r="1125" spans="1:7" x14ac:dyDescent="0.15">
      <c r="A1125" s="19" t="s">
        <v>6767</v>
      </c>
      <c r="B1125" s="25" t="s">
        <v>7083</v>
      </c>
      <c r="C1125" s="22"/>
      <c r="D1125" s="26" t="str">
        <f t="shared" si="69"/>
        <v>https://kokusho.nijl.ac.jp/biblio/100232367/92</v>
      </c>
      <c r="E1125" s="22"/>
      <c r="F1125" s="22"/>
      <c r="G1125" s="22"/>
    </row>
    <row r="1126" spans="1:7" x14ac:dyDescent="0.15">
      <c r="A1126" s="19" t="s">
        <v>6767</v>
      </c>
      <c r="B1126" s="25" t="s">
        <v>7084</v>
      </c>
      <c r="C1126" s="22"/>
      <c r="D1126" s="26" t="str">
        <f t="shared" si="69"/>
        <v>https://kokusho.nijl.ac.jp/biblio/100232367/92</v>
      </c>
      <c r="E1126" s="22"/>
      <c r="F1126" s="22"/>
      <c r="G1126" s="22"/>
    </row>
    <row r="1127" spans="1:7" x14ac:dyDescent="0.15">
      <c r="A1127" s="19" t="s">
        <v>6767</v>
      </c>
      <c r="B1127" s="25" t="s">
        <v>7085</v>
      </c>
      <c r="C1127" s="22"/>
      <c r="D1127" s="26" t="str">
        <f t="shared" si="69"/>
        <v>https://kokusho.nijl.ac.jp/biblio/100232367/92</v>
      </c>
      <c r="E1127" s="22"/>
      <c r="F1127" s="22"/>
      <c r="G1127" s="22"/>
    </row>
    <row r="1128" spans="1:7" x14ac:dyDescent="0.15">
      <c r="A1128" s="19" t="s">
        <v>6767</v>
      </c>
      <c r="B1128" s="25" t="s">
        <v>7086</v>
      </c>
      <c r="C1128" s="22"/>
      <c r="D1128" s="26" t="str">
        <f t="shared" si="69"/>
        <v>https://kokusho.nijl.ac.jp/biblio/100232367/92</v>
      </c>
      <c r="E1128" s="22"/>
      <c r="F1128" s="22"/>
      <c r="G1128" s="22"/>
    </row>
    <row r="1129" spans="1:7" x14ac:dyDescent="0.15">
      <c r="A1129" s="19" t="s">
        <v>6767</v>
      </c>
      <c r="B1129" s="25" t="s">
        <v>7087</v>
      </c>
      <c r="C1129" s="22"/>
      <c r="D1129" s="26" t="str">
        <f t="shared" si="69"/>
        <v>https://kokusho.nijl.ac.jp/biblio/100232367/92</v>
      </c>
      <c r="E1129" s="22"/>
      <c r="F1129" s="22"/>
      <c r="G1129" s="22"/>
    </row>
    <row r="1130" spans="1:7" x14ac:dyDescent="0.15">
      <c r="A1130" s="19" t="s">
        <v>6767</v>
      </c>
      <c r="B1130" s="25" t="s">
        <v>6306</v>
      </c>
      <c r="C1130" s="22"/>
      <c r="D1130" s="26" t="str">
        <f t="shared" si="69"/>
        <v>https://kokusho.nijl.ac.jp/biblio/100232367/92</v>
      </c>
      <c r="E1130" s="22"/>
      <c r="F1130" s="22"/>
      <c r="G1130" s="22"/>
    </row>
    <row r="1131" spans="1:7" x14ac:dyDescent="0.15">
      <c r="A1131" s="19" t="s">
        <v>6767</v>
      </c>
      <c r="B1131" s="25" t="s">
        <v>7088</v>
      </c>
      <c r="C1131" s="22"/>
      <c r="D1131" s="26" t="str">
        <f>HYPERLINK("https://kokusho.nijl.ac.jp/biblio/100232367/93")</f>
        <v>https://kokusho.nijl.ac.jp/biblio/100232367/93</v>
      </c>
      <c r="E1131" s="22"/>
      <c r="F1131" s="22"/>
      <c r="G1131" s="22"/>
    </row>
    <row r="1132" spans="1:7" x14ac:dyDescent="0.15">
      <c r="A1132" s="19" t="s">
        <v>6767</v>
      </c>
      <c r="B1132" s="25" t="s">
        <v>7089</v>
      </c>
      <c r="C1132" s="22"/>
      <c r="D1132" s="26" t="str">
        <f>HYPERLINK("https://kokusho.nijl.ac.jp/biblio/100232367/93")</f>
        <v>https://kokusho.nijl.ac.jp/biblio/100232367/93</v>
      </c>
      <c r="E1132" s="22"/>
      <c r="F1132" s="22"/>
      <c r="G1132" s="22"/>
    </row>
    <row r="1133" spans="1:7" x14ac:dyDescent="0.15">
      <c r="A1133" s="19" t="s">
        <v>6767</v>
      </c>
      <c r="B1133" s="25" t="s">
        <v>7090</v>
      </c>
      <c r="C1133" s="22"/>
      <c r="D1133" s="26" t="str">
        <f>HYPERLINK("https://kokusho.nijl.ac.jp/biblio/100232367/93")</f>
        <v>https://kokusho.nijl.ac.jp/biblio/100232367/93</v>
      </c>
      <c r="E1133" s="22"/>
      <c r="F1133" s="22"/>
      <c r="G1133" s="22"/>
    </row>
    <row r="1134" spans="1:7" x14ac:dyDescent="0.15">
      <c r="A1134" s="19" t="s">
        <v>6767</v>
      </c>
      <c r="B1134" s="25" t="s">
        <v>7091</v>
      </c>
      <c r="C1134" s="22"/>
      <c r="D1134" s="26" t="str">
        <f>HYPERLINK("https://kokusho.nijl.ac.jp/biblio/100232367/93")</f>
        <v>https://kokusho.nijl.ac.jp/biblio/100232367/93</v>
      </c>
      <c r="E1134" s="22"/>
      <c r="F1134" s="22"/>
      <c r="G1134" s="22"/>
    </row>
    <row r="1135" spans="1:7" x14ac:dyDescent="0.15">
      <c r="A1135" s="19" t="s">
        <v>6767</v>
      </c>
      <c r="B1135" s="25" t="s">
        <v>7092</v>
      </c>
      <c r="C1135" s="22"/>
      <c r="D1135" s="26" t="str">
        <f>HYPERLINK("https://kokusho.nijl.ac.jp/biblio/100232367/93")</f>
        <v>https://kokusho.nijl.ac.jp/biblio/100232367/93</v>
      </c>
      <c r="E1135" s="22"/>
      <c r="F1135" s="22"/>
      <c r="G1135" s="22"/>
    </row>
    <row r="1136" spans="1:7" x14ac:dyDescent="0.15">
      <c r="A1136" s="19" t="s">
        <v>6767</v>
      </c>
      <c r="B1136" s="25" t="s">
        <v>7093</v>
      </c>
      <c r="C1136" s="22"/>
      <c r="D1136" s="26" t="str">
        <f t="shared" ref="D1136:D1142" si="70">HYPERLINK("https://kokusho.nijl.ac.jp/biblio/100232367/94")</f>
        <v>https://kokusho.nijl.ac.jp/biblio/100232367/94</v>
      </c>
      <c r="E1136" s="22"/>
      <c r="F1136" s="22"/>
      <c r="G1136" s="22"/>
    </row>
    <row r="1137" spans="1:7" x14ac:dyDescent="0.15">
      <c r="A1137" s="19" t="s">
        <v>6767</v>
      </c>
      <c r="B1137" s="25" t="s">
        <v>7094</v>
      </c>
      <c r="C1137" s="22"/>
      <c r="D1137" s="26" t="str">
        <f t="shared" si="70"/>
        <v>https://kokusho.nijl.ac.jp/biblio/100232367/94</v>
      </c>
      <c r="E1137" s="22"/>
      <c r="F1137" s="22"/>
      <c r="G1137" s="22"/>
    </row>
    <row r="1138" spans="1:7" x14ac:dyDescent="0.15">
      <c r="A1138" s="19" t="s">
        <v>6767</v>
      </c>
      <c r="B1138" s="25" t="s">
        <v>7095</v>
      </c>
      <c r="C1138" s="22"/>
      <c r="D1138" s="26" t="str">
        <f t="shared" si="70"/>
        <v>https://kokusho.nijl.ac.jp/biblio/100232367/94</v>
      </c>
      <c r="E1138" s="22"/>
      <c r="F1138" s="22"/>
      <c r="G1138" s="22"/>
    </row>
    <row r="1139" spans="1:7" x14ac:dyDescent="0.15">
      <c r="A1139" s="19" t="s">
        <v>6767</v>
      </c>
      <c r="B1139" s="25" t="s">
        <v>7096</v>
      </c>
      <c r="C1139" s="22"/>
      <c r="D1139" s="26" t="str">
        <f t="shared" si="70"/>
        <v>https://kokusho.nijl.ac.jp/biblio/100232367/94</v>
      </c>
      <c r="E1139" s="22"/>
      <c r="F1139" s="22"/>
      <c r="G1139" s="22"/>
    </row>
    <row r="1140" spans="1:7" x14ac:dyDescent="0.15">
      <c r="A1140" s="19" t="s">
        <v>6767</v>
      </c>
      <c r="B1140" s="25" t="s">
        <v>7097</v>
      </c>
      <c r="C1140" s="22"/>
      <c r="D1140" s="26" t="str">
        <f t="shared" si="70"/>
        <v>https://kokusho.nijl.ac.jp/biblio/100232367/94</v>
      </c>
      <c r="E1140" s="22"/>
      <c r="F1140" s="22"/>
      <c r="G1140" s="22"/>
    </row>
    <row r="1141" spans="1:7" x14ac:dyDescent="0.15">
      <c r="A1141" s="19" t="s">
        <v>6767</v>
      </c>
      <c r="B1141" s="25" t="s">
        <v>7098</v>
      </c>
      <c r="C1141" s="22"/>
      <c r="D1141" s="26" t="str">
        <f t="shared" si="70"/>
        <v>https://kokusho.nijl.ac.jp/biblio/100232367/94</v>
      </c>
      <c r="E1141" s="22"/>
      <c r="F1141" s="22"/>
      <c r="G1141" s="22"/>
    </row>
    <row r="1142" spans="1:7" x14ac:dyDescent="0.15">
      <c r="A1142" s="19" t="s">
        <v>6767</v>
      </c>
      <c r="B1142" s="25" t="s">
        <v>7099</v>
      </c>
      <c r="C1142" s="22"/>
      <c r="D1142" s="26" t="str">
        <f t="shared" si="70"/>
        <v>https://kokusho.nijl.ac.jp/biblio/100232367/94</v>
      </c>
      <c r="E1142" s="22"/>
      <c r="F1142" s="22"/>
      <c r="G1142" s="22"/>
    </row>
    <row r="1143" spans="1:7" x14ac:dyDescent="0.15">
      <c r="A1143" s="19" t="s">
        <v>6767</v>
      </c>
      <c r="B1143" s="25" t="s">
        <v>7100</v>
      </c>
      <c r="C1143" s="22"/>
      <c r="D1143" s="26" t="str">
        <f t="shared" ref="D1143:D1151" si="71">HYPERLINK("https://kokusho.nijl.ac.jp/biblio/100232367/95")</f>
        <v>https://kokusho.nijl.ac.jp/biblio/100232367/95</v>
      </c>
      <c r="E1143" s="22"/>
      <c r="F1143" s="22"/>
      <c r="G1143" s="22"/>
    </row>
    <row r="1144" spans="1:7" x14ac:dyDescent="0.15">
      <c r="A1144" s="19" t="s">
        <v>6767</v>
      </c>
      <c r="B1144" s="25" t="s">
        <v>7101</v>
      </c>
      <c r="C1144" s="22"/>
      <c r="D1144" s="26" t="str">
        <f t="shared" si="71"/>
        <v>https://kokusho.nijl.ac.jp/biblio/100232367/95</v>
      </c>
      <c r="E1144" s="22"/>
      <c r="F1144" s="22"/>
      <c r="G1144" s="22"/>
    </row>
    <row r="1145" spans="1:7" x14ac:dyDescent="0.15">
      <c r="A1145" s="19" t="s">
        <v>6767</v>
      </c>
      <c r="B1145" s="25" t="s">
        <v>7102</v>
      </c>
      <c r="C1145" s="22"/>
      <c r="D1145" s="26" t="str">
        <f t="shared" si="71"/>
        <v>https://kokusho.nijl.ac.jp/biblio/100232367/95</v>
      </c>
      <c r="E1145" s="22"/>
      <c r="F1145" s="22"/>
      <c r="G1145" s="22"/>
    </row>
    <row r="1146" spans="1:7" x14ac:dyDescent="0.15">
      <c r="A1146" s="19" t="s">
        <v>6767</v>
      </c>
      <c r="B1146" s="25" t="s">
        <v>7103</v>
      </c>
      <c r="C1146" s="22"/>
      <c r="D1146" s="26" t="str">
        <f t="shared" si="71"/>
        <v>https://kokusho.nijl.ac.jp/biblio/100232367/95</v>
      </c>
      <c r="E1146" s="22"/>
      <c r="F1146" s="22"/>
      <c r="G1146" s="22"/>
    </row>
    <row r="1147" spans="1:7" x14ac:dyDescent="0.15">
      <c r="A1147" s="19" t="s">
        <v>6767</v>
      </c>
      <c r="B1147" s="25" t="s">
        <v>7104</v>
      </c>
      <c r="C1147" s="22"/>
      <c r="D1147" s="26" t="str">
        <f t="shared" si="71"/>
        <v>https://kokusho.nijl.ac.jp/biblio/100232367/95</v>
      </c>
      <c r="E1147" s="22"/>
      <c r="F1147" s="22"/>
      <c r="G1147" s="22"/>
    </row>
    <row r="1148" spans="1:7" x14ac:dyDescent="0.15">
      <c r="A1148" s="19" t="s">
        <v>6767</v>
      </c>
      <c r="B1148" s="25" t="s">
        <v>7105</v>
      </c>
      <c r="C1148" s="22"/>
      <c r="D1148" s="26" t="str">
        <f t="shared" si="71"/>
        <v>https://kokusho.nijl.ac.jp/biblio/100232367/95</v>
      </c>
      <c r="E1148" s="22"/>
      <c r="F1148" s="22"/>
      <c r="G1148" s="22"/>
    </row>
    <row r="1149" spans="1:7" x14ac:dyDescent="0.15">
      <c r="A1149" s="19" t="s">
        <v>6767</v>
      </c>
      <c r="B1149" s="25" t="s">
        <v>7106</v>
      </c>
      <c r="C1149" s="22"/>
      <c r="D1149" s="26" t="str">
        <f t="shared" si="71"/>
        <v>https://kokusho.nijl.ac.jp/biblio/100232367/95</v>
      </c>
      <c r="E1149" s="22"/>
      <c r="F1149" s="22"/>
      <c r="G1149" s="22"/>
    </row>
    <row r="1150" spans="1:7" x14ac:dyDescent="0.15">
      <c r="A1150" s="19" t="s">
        <v>6767</v>
      </c>
      <c r="B1150" s="25" t="s">
        <v>7107</v>
      </c>
      <c r="C1150" s="22"/>
      <c r="D1150" s="26" t="str">
        <f t="shared" si="71"/>
        <v>https://kokusho.nijl.ac.jp/biblio/100232367/95</v>
      </c>
      <c r="E1150" s="22"/>
      <c r="F1150" s="22"/>
      <c r="G1150" s="22"/>
    </row>
    <row r="1151" spans="1:7" x14ac:dyDescent="0.15">
      <c r="A1151" s="19" t="s">
        <v>6767</v>
      </c>
      <c r="B1151" s="25" t="s">
        <v>7108</v>
      </c>
      <c r="C1151" s="22"/>
      <c r="D1151" s="26" t="str">
        <f t="shared" si="71"/>
        <v>https://kokusho.nijl.ac.jp/biblio/100232367/95</v>
      </c>
      <c r="E1151" s="22"/>
      <c r="F1151" s="22"/>
      <c r="G1151" s="22"/>
    </row>
    <row r="1152" spans="1:7" x14ac:dyDescent="0.15">
      <c r="A1152" s="19" t="s">
        <v>6767</v>
      </c>
      <c r="B1152" s="25" t="s">
        <v>7109</v>
      </c>
      <c r="C1152" s="22"/>
      <c r="D1152" s="26" t="str">
        <f>HYPERLINK("https://kokusho.nijl.ac.jp/biblio/100232367/96")</f>
        <v>https://kokusho.nijl.ac.jp/biblio/100232367/96</v>
      </c>
      <c r="E1152" s="22"/>
      <c r="F1152" s="22"/>
      <c r="G1152" s="22"/>
    </row>
    <row r="1153" spans="1:7" x14ac:dyDescent="0.15">
      <c r="A1153" s="19" t="s">
        <v>6767</v>
      </c>
      <c r="B1153" s="25" t="s">
        <v>7110</v>
      </c>
      <c r="C1153" s="22"/>
      <c r="D1153" s="26" t="str">
        <f>HYPERLINK("https://kokusho.nijl.ac.jp/biblio/100232367/96")</f>
        <v>https://kokusho.nijl.ac.jp/biblio/100232367/96</v>
      </c>
      <c r="E1153" s="22"/>
      <c r="F1153" s="22"/>
      <c r="G1153" s="22"/>
    </row>
    <row r="1154" spans="1:7" x14ac:dyDescent="0.15">
      <c r="A1154" s="19" t="s">
        <v>6767</v>
      </c>
      <c r="B1154" s="25" t="s">
        <v>7111</v>
      </c>
      <c r="C1154" s="22"/>
      <c r="D1154" s="26" t="str">
        <f>HYPERLINK("https://kokusho.nijl.ac.jp/biblio/100232367/96")</f>
        <v>https://kokusho.nijl.ac.jp/biblio/100232367/96</v>
      </c>
      <c r="E1154" s="22"/>
      <c r="F1154" s="22"/>
      <c r="G1154" s="22"/>
    </row>
    <row r="1155" spans="1:7" x14ac:dyDescent="0.15">
      <c r="A1155" s="19" t="s">
        <v>6767</v>
      </c>
      <c r="B1155" s="25" t="s">
        <v>7112</v>
      </c>
      <c r="C1155" s="22"/>
      <c r="D1155" s="26" t="str">
        <f>HYPERLINK("https://kokusho.nijl.ac.jp/biblio/100232367/96")</f>
        <v>https://kokusho.nijl.ac.jp/biblio/100232367/96</v>
      </c>
      <c r="E1155" s="22"/>
      <c r="F1155" s="22"/>
      <c r="G1155" s="22"/>
    </row>
    <row r="1156" spans="1:7" x14ac:dyDescent="0.15">
      <c r="A1156" s="19" t="s">
        <v>6767</v>
      </c>
      <c r="B1156" s="25" t="s">
        <v>7113</v>
      </c>
      <c r="C1156" s="22"/>
      <c r="D1156" s="26" t="str">
        <f>HYPERLINK("https://kokusho.nijl.ac.jp/biblio/100232367/97")</f>
        <v>https://kokusho.nijl.ac.jp/biblio/100232367/97</v>
      </c>
      <c r="E1156" s="22"/>
      <c r="F1156" s="22"/>
      <c r="G1156" s="22"/>
    </row>
    <row r="1157" spans="1:7" x14ac:dyDescent="0.15">
      <c r="A1157" s="19" t="s">
        <v>6767</v>
      </c>
      <c r="B1157" s="25" t="s">
        <v>7114</v>
      </c>
      <c r="C1157" s="22"/>
      <c r="D1157" s="26" t="str">
        <f>HYPERLINK("https://kokusho.nijl.ac.jp/biblio/100232367/101")</f>
        <v>https://kokusho.nijl.ac.jp/biblio/100232367/101</v>
      </c>
      <c r="E1157" s="22"/>
      <c r="F1157" s="22"/>
      <c r="G1157" s="22"/>
    </row>
    <row r="1158" spans="1:7" x14ac:dyDescent="0.15">
      <c r="A1158" s="19" t="s">
        <v>6767</v>
      </c>
      <c r="B1158" s="25" t="s">
        <v>7115</v>
      </c>
      <c r="C1158" s="22"/>
      <c r="D1158" s="26" t="str">
        <f>HYPERLINK("https://kokusho.nijl.ac.jp/biblio/100232367/101")</f>
        <v>https://kokusho.nijl.ac.jp/biblio/100232367/101</v>
      </c>
      <c r="E1158" s="22"/>
      <c r="F1158" s="22"/>
      <c r="G1158" s="22"/>
    </row>
    <row r="1159" spans="1:7" x14ac:dyDescent="0.15">
      <c r="A1159" s="19" t="s">
        <v>6767</v>
      </c>
      <c r="B1159" s="25" t="s">
        <v>6777</v>
      </c>
      <c r="C1159" s="22"/>
      <c r="D1159" s="26" t="str">
        <f>HYPERLINK("https://kokusho.nijl.ac.jp/biblio/100232367/101")</f>
        <v>https://kokusho.nijl.ac.jp/biblio/100232367/101</v>
      </c>
      <c r="E1159" s="22"/>
      <c r="F1159" s="22"/>
      <c r="G1159" s="22"/>
    </row>
    <row r="1160" spans="1:7" x14ac:dyDescent="0.15">
      <c r="A1160" s="19" t="s">
        <v>6767</v>
      </c>
      <c r="B1160" s="25" t="s">
        <v>6239</v>
      </c>
      <c r="C1160" s="22"/>
      <c r="D1160" s="26" t="str">
        <f>HYPERLINK("https://kokusho.nijl.ac.jp/biblio/100232367/102")</f>
        <v>https://kokusho.nijl.ac.jp/biblio/100232367/102</v>
      </c>
      <c r="E1160" s="22"/>
      <c r="F1160" s="22"/>
      <c r="G1160" s="22"/>
    </row>
    <row r="1161" spans="1:7" x14ac:dyDescent="0.15">
      <c r="A1161" s="19" t="s">
        <v>6767</v>
      </c>
      <c r="B1161" s="25" t="s">
        <v>7116</v>
      </c>
      <c r="C1161" s="22"/>
      <c r="D1161" s="26" t="str">
        <f>HYPERLINK("https://kokusho.nijl.ac.jp/biblio/100232367/102")</f>
        <v>https://kokusho.nijl.ac.jp/biblio/100232367/102</v>
      </c>
      <c r="E1161" s="22"/>
      <c r="F1161" s="22"/>
      <c r="G1161" s="22"/>
    </row>
    <row r="1162" spans="1:7" x14ac:dyDescent="0.15">
      <c r="A1162" s="19" t="s">
        <v>6767</v>
      </c>
      <c r="B1162" s="25" t="s">
        <v>7117</v>
      </c>
      <c r="C1162" s="22"/>
      <c r="D1162" s="26" t="str">
        <f>HYPERLINK("https://kokusho.nijl.ac.jp/biblio/100232367/102")</f>
        <v>https://kokusho.nijl.ac.jp/biblio/100232367/102</v>
      </c>
      <c r="E1162" s="22"/>
      <c r="F1162" s="22"/>
      <c r="G1162" s="22"/>
    </row>
    <row r="1163" spans="1:7" x14ac:dyDescent="0.15">
      <c r="A1163" s="19" t="s">
        <v>6767</v>
      </c>
      <c r="B1163" s="25" t="s">
        <v>7118</v>
      </c>
      <c r="C1163" s="22"/>
      <c r="D1163" s="26" t="str">
        <f>HYPERLINK("https://kokusho.nijl.ac.jp/biblio/100232367/102")</f>
        <v>https://kokusho.nijl.ac.jp/biblio/100232367/102</v>
      </c>
      <c r="E1163" s="22"/>
      <c r="F1163" s="22"/>
      <c r="G1163" s="22"/>
    </row>
    <row r="1164" spans="1:7" x14ac:dyDescent="0.15">
      <c r="A1164" s="19" t="s">
        <v>6767</v>
      </c>
      <c r="B1164" s="25" t="s">
        <v>7119</v>
      </c>
      <c r="C1164" s="22"/>
      <c r="D1164" s="26" t="str">
        <f t="shared" ref="D1164:D1170" si="72">HYPERLINK("https://kokusho.nijl.ac.jp/biblio/100232367/103")</f>
        <v>https://kokusho.nijl.ac.jp/biblio/100232367/103</v>
      </c>
      <c r="E1164" s="22"/>
      <c r="F1164" s="22"/>
      <c r="G1164" s="22"/>
    </row>
    <row r="1165" spans="1:7" x14ac:dyDescent="0.15">
      <c r="A1165" s="19" t="s">
        <v>6767</v>
      </c>
      <c r="B1165" s="25" t="s">
        <v>7120</v>
      </c>
      <c r="C1165" s="22"/>
      <c r="D1165" s="26" t="str">
        <f t="shared" si="72"/>
        <v>https://kokusho.nijl.ac.jp/biblio/100232367/103</v>
      </c>
      <c r="E1165" s="22"/>
      <c r="F1165" s="22"/>
      <c r="G1165" s="22"/>
    </row>
    <row r="1166" spans="1:7" x14ac:dyDescent="0.15">
      <c r="A1166" s="19" t="s">
        <v>6767</v>
      </c>
      <c r="B1166" s="25" t="s">
        <v>7121</v>
      </c>
      <c r="C1166" s="22"/>
      <c r="D1166" s="26" t="str">
        <f t="shared" si="72"/>
        <v>https://kokusho.nijl.ac.jp/biblio/100232367/103</v>
      </c>
      <c r="E1166" s="22"/>
      <c r="F1166" s="22"/>
      <c r="G1166" s="22"/>
    </row>
    <row r="1167" spans="1:7" x14ac:dyDescent="0.15">
      <c r="A1167" s="19" t="s">
        <v>6767</v>
      </c>
      <c r="B1167" s="25" t="s">
        <v>7122</v>
      </c>
      <c r="C1167" s="22"/>
      <c r="D1167" s="26" t="str">
        <f t="shared" si="72"/>
        <v>https://kokusho.nijl.ac.jp/biblio/100232367/103</v>
      </c>
      <c r="E1167" s="22"/>
      <c r="F1167" s="22"/>
      <c r="G1167" s="22"/>
    </row>
    <row r="1168" spans="1:7" x14ac:dyDescent="0.15">
      <c r="A1168" s="19" t="s">
        <v>6767</v>
      </c>
      <c r="B1168" s="25" t="s">
        <v>7123</v>
      </c>
      <c r="C1168" s="22"/>
      <c r="D1168" s="26" t="str">
        <f t="shared" si="72"/>
        <v>https://kokusho.nijl.ac.jp/biblio/100232367/103</v>
      </c>
      <c r="E1168" s="22"/>
      <c r="F1168" s="22"/>
      <c r="G1168" s="22"/>
    </row>
    <row r="1169" spans="1:7" x14ac:dyDescent="0.15">
      <c r="A1169" s="19" t="s">
        <v>6767</v>
      </c>
      <c r="B1169" s="25" t="s">
        <v>7124</v>
      </c>
      <c r="C1169" s="22"/>
      <c r="D1169" s="26" t="str">
        <f t="shared" si="72"/>
        <v>https://kokusho.nijl.ac.jp/biblio/100232367/103</v>
      </c>
      <c r="E1169" s="22"/>
      <c r="F1169" s="22"/>
      <c r="G1169" s="22"/>
    </row>
    <row r="1170" spans="1:7" x14ac:dyDescent="0.15">
      <c r="A1170" s="19" t="s">
        <v>6767</v>
      </c>
      <c r="B1170" s="25" t="s">
        <v>7125</v>
      </c>
      <c r="C1170" s="22"/>
      <c r="D1170" s="26" t="str">
        <f t="shared" si="72"/>
        <v>https://kokusho.nijl.ac.jp/biblio/100232367/103</v>
      </c>
      <c r="E1170" s="22"/>
      <c r="F1170" s="22"/>
      <c r="G1170" s="22"/>
    </row>
    <row r="1171" spans="1:7" x14ac:dyDescent="0.15">
      <c r="A1171" s="19" t="s">
        <v>6767</v>
      </c>
      <c r="B1171" s="25" t="s">
        <v>7126</v>
      </c>
      <c r="C1171" s="22"/>
      <c r="D1171" s="26" t="str">
        <f t="shared" ref="D1171:D1178" si="73">HYPERLINK("https://kokusho.nijl.ac.jp/biblio/100232367/104")</f>
        <v>https://kokusho.nijl.ac.jp/biblio/100232367/104</v>
      </c>
      <c r="E1171" s="22"/>
      <c r="F1171" s="22"/>
      <c r="G1171" s="22"/>
    </row>
    <row r="1172" spans="1:7" x14ac:dyDescent="0.15">
      <c r="A1172" s="19" t="s">
        <v>6767</v>
      </c>
      <c r="B1172" s="25" t="s">
        <v>7127</v>
      </c>
      <c r="C1172" s="22"/>
      <c r="D1172" s="26" t="str">
        <f t="shared" si="73"/>
        <v>https://kokusho.nijl.ac.jp/biblio/100232367/104</v>
      </c>
      <c r="E1172" s="22"/>
      <c r="F1172" s="22"/>
      <c r="G1172" s="22"/>
    </row>
    <row r="1173" spans="1:7" x14ac:dyDescent="0.15">
      <c r="A1173" s="19" t="s">
        <v>6767</v>
      </c>
      <c r="B1173" s="25" t="s">
        <v>7128</v>
      </c>
      <c r="C1173" s="22"/>
      <c r="D1173" s="26" t="str">
        <f t="shared" si="73"/>
        <v>https://kokusho.nijl.ac.jp/biblio/100232367/104</v>
      </c>
      <c r="E1173" s="22"/>
      <c r="F1173" s="22"/>
      <c r="G1173" s="22"/>
    </row>
    <row r="1174" spans="1:7" x14ac:dyDescent="0.15">
      <c r="A1174" s="19" t="s">
        <v>6767</v>
      </c>
      <c r="B1174" s="25" t="s">
        <v>7129</v>
      </c>
      <c r="C1174" s="22"/>
      <c r="D1174" s="26" t="str">
        <f t="shared" si="73"/>
        <v>https://kokusho.nijl.ac.jp/biblio/100232367/104</v>
      </c>
      <c r="E1174" s="22"/>
      <c r="F1174" s="22"/>
      <c r="G1174" s="22"/>
    </row>
    <row r="1175" spans="1:7" x14ac:dyDescent="0.15">
      <c r="A1175" s="19" t="s">
        <v>6767</v>
      </c>
      <c r="B1175" s="25" t="s">
        <v>7130</v>
      </c>
      <c r="C1175" s="22"/>
      <c r="D1175" s="26" t="str">
        <f t="shared" si="73"/>
        <v>https://kokusho.nijl.ac.jp/biblio/100232367/104</v>
      </c>
      <c r="E1175" s="22"/>
      <c r="F1175" s="22"/>
      <c r="G1175" s="22"/>
    </row>
    <row r="1176" spans="1:7" x14ac:dyDescent="0.15">
      <c r="A1176" s="19" t="s">
        <v>6767</v>
      </c>
      <c r="B1176" s="25" t="s">
        <v>7131</v>
      </c>
      <c r="C1176" s="22"/>
      <c r="D1176" s="26" t="str">
        <f t="shared" si="73"/>
        <v>https://kokusho.nijl.ac.jp/biblio/100232367/104</v>
      </c>
      <c r="E1176" s="22"/>
      <c r="F1176" s="22"/>
      <c r="G1176" s="22"/>
    </row>
    <row r="1177" spans="1:7" x14ac:dyDescent="0.15">
      <c r="A1177" s="19" t="s">
        <v>6767</v>
      </c>
      <c r="B1177" s="25" t="s">
        <v>7132</v>
      </c>
      <c r="C1177" s="22"/>
      <c r="D1177" s="26" t="str">
        <f t="shared" si="73"/>
        <v>https://kokusho.nijl.ac.jp/biblio/100232367/104</v>
      </c>
      <c r="E1177" s="22"/>
      <c r="F1177" s="22"/>
      <c r="G1177" s="22"/>
    </row>
    <row r="1178" spans="1:7" x14ac:dyDescent="0.15">
      <c r="A1178" s="19" t="s">
        <v>6767</v>
      </c>
      <c r="B1178" s="25" t="s">
        <v>7133</v>
      </c>
      <c r="C1178" s="22"/>
      <c r="D1178" s="26" t="str">
        <f t="shared" si="73"/>
        <v>https://kokusho.nijl.ac.jp/biblio/100232367/104</v>
      </c>
      <c r="E1178" s="22"/>
      <c r="F1178" s="22"/>
      <c r="G1178" s="22"/>
    </row>
    <row r="1179" spans="1:7" x14ac:dyDescent="0.15">
      <c r="A1179" s="19" t="s">
        <v>6767</v>
      </c>
      <c r="B1179" s="25" t="s">
        <v>7134</v>
      </c>
      <c r="C1179" s="22"/>
      <c r="D1179" s="26" t="str">
        <f t="shared" ref="D1179:D1187" si="74">HYPERLINK("https://kokusho.nijl.ac.jp/biblio/100232367/105")</f>
        <v>https://kokusho.nijl.ac.jp/biblio/100232367/105</v>
      </c>
      <c r="E1179" s="22"/>
      <c r="F1179" s="22"/>
      <c r="G1179" s="22"/>
    </row>
    <row r="1180" spans="1:7" x14ac:dyDescent="0.15">
      <c r="A1180" s="19" t="s">
        <v>6767</v>
      </c>
      <c r="B1180" s="25" t="s">
        <v>7135</v>
      </c>
      <c r="C1180" s="22"/>
      <c r="D1180" s="26" t="str">
        <f t="shared" si="74"/>
        <v>https://kokusho.nijl.ac.jp/biblio/100232367/105</v>
      </c>
      <c r="E1180" s="22"/>
      <c r="F1180" s="22"/>
      <c r="G1180" s="22"/>
    </row>
    <row r="1181" spans="1:7" x14ac:dyDescent="0.15">
      <c r="A1181" s="19" t="s">
        <v>6767</v>
      </c>
      <c r="B1181" s="25" t="s">
        <v>7136</v>
      </c>
      <c r="C1181" s="22"/>
      <c r="D1181" s="26" t="str">
        <f t="shared" si="74"/>
        <v>https://kokusho.nijl.ac.jp/biblio/100232367/105</v>
      </c>
      <c r="E1181" s="22"/>
      <c r="F1181" s="22"/>
      <c r="G1181" s="22"/>
    </row>
    <row r="1182" spans="1:7" x14ac:dyDescent="0.15">
      <c r="A1182" s="19" t="s">
        <v>6767</v>
      </c>
      <c r="B1182" s="25" t="s">
        <v>6255</v>
      </c>
      <c r="C1182" s="22"/>
      <c r="D1182" s="26" t="str">
        <f t="shared" si="74"/>
        <v>https://kokusho.nijl.ac.jp/biblio/100232367/105</v>
      </c>
      <c r="E1182" s="22"/>
      <c r="F1182" s="22"/>
      <c r="G1182" s="22"/>
    </row>
    <row r="1183" spans="1:7" x14ac:dyDescent="0.15">
      <c r="A1183" s="19" t="s">
        <v>6767</v>
      </c>
      <c r="B1183" s="25" t="s">
        <v>7137</v>
      </c>
      <c r="C1183" s="22"/>
      <c r="D1183" s="26" t="str">
        <f t="shared" si="74"/>
        <v>https://kokusho.nijl.ac.jp/biblio/100232367/105</v>
      </c>
      <c r="E1183" s="22"/>
      <c r="F1183" s="22"/>
      <c r="G1183" s="22"/>
    </row>
    <row r="1184" spans="1:7" x14ac:dyDescent="0.15">
      <c r="A1184" s="19" t="s">
        <v>6767</v>
      </c>
      <c r="B1184" s="25" t="s">
        <v>7138</v>
      </c>
      <c r="C1184" s="22"/>
      <c r="D1184" s="26" t="str">
        <f t="shared" si="74"/>
        <v>https://kokusho.nijl.ac.jp/biblio/100232367/105</v>
      </c>
      <c r="E1184" s="22"/>
      <c r="F1184" s="22"/>
      <c r="G1184" s="22"/>
    </row>
    <row r="1185" spans="1:7" x14ac:dyDescent="0.15">
      <c r="A1185" s="19" t="s">
        <v>6767</v>
      </c>
      <c r="B1185" s="25" t="s">
        <v>7139</v>
      </c>
      <c r="C1185" s="22"/>
      <c r="D1185" s="26" t="str">
        <f t="shared" si="74"/>
        <v>https://kokusho.nijl.ac.jp/biblio/100232367/105</v>
      </c>
      <c r="E1185" s="22"/>
      <c r="F1185" s="22"/>
      <c r="G1185" s="22"/>
    </row>
    <row r="1186" spans="1:7" x14ac:dyDescent="0.15">
      <c r="A1186" s="19" t="s">
        <v>6767</v>
      </c>
      <c r="B1186" s="25" t="s">
        <v>7140</v>
      </c>
      <c r="C1186" s="22"/>
      <c r="D1186" s="26" t="str">
        <f t="shared" si="74"/>
        <v>https://kokusho.nijl.ac.jp/biblio/100232367/105</v>
      </c>
      <c r="E1186" s="22"/>
      <c r="F1186" s="22"/>
      <c r="G1186" s="22"/>
    </row>
    <row r="1187" spans="1:7" x14ac:dyDescent="0.15">
      <c r="A1187" s="19" t="s">
        <v>6767</v>
      </c>
      <c r="B1187" s="25" t="s">
        <v>7141</v>
      </c>
      <c r="C1187" s="22"/>
      <c r="D1187" s="26" t="str">
        <f t="shared" si="74"/>
        <v>https://kokusho.nijl.ac.jp/biblio/100232367/105</v>
      </c>
      <c r="E1187" s="22"/>
      <c r="F1187" s="22"/>
      <c r="G1187" s="22"/>
    </row>
    <row r="1188" spans="1:7" x14ac:dyDescent="0.15">
      <c r="A1188" s="19" t="s">
        <v>6767</v>
      </c>
      <c r="B1188" s="25" t="s">
        <v>7142</v>
      </c>
      <c r="C1188" s="22"/>
      <c r="D1188" s="26" t="str">
        <f t="shared" ref="D1188:D1194" si="75">HYPERLINK("https://kokusho.nijl.ac.jp/biblio/100232367/106")</f>
        <v>https://kokusho.nijl.ac.jp/biblio/100232367/106</v>
      </c>
      <c r="E1188" s="22"/>
      <c r="F1188" s="22"/>
      <c r="G1188" s="22"/>
    </row>
    <row r="1189" spans="1:7" x14ac:dyDescent="0.15">
      <c r="A1189" s="19" t="s">
        <v>6767</v>
      </c>
      <c r="B1189" s="25" t="s">
        <v>7143</v>
      </c>
      <c r="C1189" s="22"/>
      <c r="D1189" s="26" t="str">
        <f t="shared" si="75"/>
        <v>https://kokusho.nijl.ac.jp/biblio/100232367/106</v>
      </c>
      <c r="E1189" s="22"/>
      <c r="F1189" s="22"/>
      <c r="G1189" s="22"/>
    </row>
    <row r="1190" spans="1:7" x14ac:dyDescent="0.15">
      <c r="A1190" s="19" t="s">
        <v>6767</v>
      </c>
      <c r="B1190" s="25" t="s">
        <v>7144</v>
      </c>
      <c r="C1190" s="22"/>
      <c r="D1190" s="26" t="str">
        <f t="shared" si="75"/>
        <v>https://kokusho.nijl.ac.jp/biblio/100232367/106</v>
      </c>
      <c r="E1190" s="22"/>
      <c r="F1190" s="22"/>
      <c r="G1190" s="22"/>
    </row>
    <row r="1191" spans="1:7" x14ac:dyDescent="0.15">
      <c r="A1191" s="19" t="s">
        <v>6767</v>
      </c>
      <c r="B1191" s="25" t="s">
        <v>7145</v>
      </c>
      <c r="C1191" s="22"/>
      <c r="D1191" s="26" t="str">
        <f t="shared" si="75"/>
        <v>https://kokusho.nijl.ac.jp/biblio/100232367/106</v>
      </c>
      <c r="E1191" s="22"/>
      <c r="F1191" s="22"/>
      <c r="G1191" s="22"/>
    </row>
    <row r="1192" spans="1:7" x14ac:dyDescent="0.15">
      <c r="A1192" s="19" t="s">
        <v>6767</v>
      </c>
      <c r="B1192" s="25" t="s">
        <v>7146</v>
      </c>
      <c r="C1192" s="22"/>
      <c r="D1192" s="26" t="str">
        <f t="shared" si="75"/>
        <v>https://kokusho.nijl.ac.jp/biblio/100232367/106</v>
      </c>
      <c r="E1192" s="22"/>
      <c r="F1192" s="22"/>
      <c r="G1192" s="22"/>
    </row>
    <row r="1193" spans="1:7" x14ac:dyDescent="0.15">
      <c r="A1193" s="19" t="s">
        <v>6767</v>
      </c>
      <c r="B1193" s="25" t="s">
        <v>7147</v>
      </c>
      <c r="C1193" s="22"/>
      <c r="D1193" s="26" t="str">
        <f t="shared" si="75"/>
        <v>https://kokusho.nijl.ac.jp/biblio/100232367/106</v>
      </c>
      <c r="E1193" s="22"/>
      <c r="F1193" s="22"/>
      <c r="G1193" s="22"/>
    </row>
    <row r="1194" spans="1:7" x14ac:dyDescent="0.15">
      <c r="A1194" s="19" t="s">
        <v>6767</v>
      </c>
      <c r="B1194" s="25" t="s">
        <v>7148</v>
      </c>
      <c r="C1194" s="22"/>
      <c r="D1194" s="26" t="str">
        <f t="shared" si="75"/>
        <v>https://kokusho.nijl.ac.jp/biblio/100232367/106</v>
      </c>
      <c r="E1194" s="22"/>
      <c r="F1194" s="22"/>
      <c r="G1194" s="22"/>
    </row>
    <row r="1195" spans="1:7" x14ac:dyDescent="0.15">
      <c r="A1195" s="19" t="s">
        <v>6767</v>
      </c>
      <c r="B1195" s="25" t="s">
        <v>7149</v>
      </c>
      <c r="C1195" s="22"/>
      <c r="D1195" s="26" t="str">
        <f t="shared" ref="D1195:D1203" si="76">HYPERLINK("https://kokusho.nijl.ac.jp/biblio/100232367/107")</f>
        <v>https://kokusho.nijl.ac.jp/biblio/100232367/107</v>
      </c>
      <c r="E1195" s="22"/>
      <c r="F1195" s="22"/>
      <c r="G1195" s="22"/>
    </row>
    <row r="1196" spans="1:7" x14ac:dyDescent="0.15">
      <c r="A1196" s="19" t="s">
        <v>6767</v>
      </c>
      <c r="B1196" s="25" t="s">
        <v>7150</v>
      </c>
      <c r="C1196" s="22"/>
      <c r="D1196" s="26" t="str">
        <f t="shared" si="76"/>
        <v>https://kokusho.nijl.ac.jp/biblio/100232367/107</v>
      </c>
      <c r="E1196" s="22"/>
      <c r="F1196" s="22"/>
      <c r="G1196" s="22"/>
    </row>
    <row r="1197" spans="1:7" ht="18.75" x14ac:dyDescent="0.15">
      <c r="A1197" s="19" t="s">
        <v>6767</v>
      </c>
      <c r="B1197" s="25" t="s">
        <v>8958</v>
      </c>
      <c r="C1197" s="22"/>
      <c r="D1197" s="26" t="str">
        <f t="shared" si="76"/>
        <v>https://kokusho.nijl.ac.jp/biblio/100232367/107</v>
      </c>
      <c r="E1197" s="22"/>
      <c r="F1197" s="22"/>
      <c r="G1197" s="22"/>
    </row>
    <row r="1198" spans="1:7" x14ac:dyDescent="0.15">
      <c r="A1198" s="19" t="s">
        <v>6767</v>
      </c>
      <c r="B1198" s="25" t="s">
        <v>7151</v>
      </c>
      <c r="C1198" s="22"/>
      <c r="D1198" s="26" t="str">
        <f t="shared" si="76"/>
        <v>https://kokusho.nijl.ac.jp/biblio/100232367/107</v>
      </c>
      <c r="E1198" s="22"/>
      <c r="F1198" s="22"/>
      <c r="G1198" s="22"/>
    </row>
    <row r="1199" spans="1:7" x14ac:dyDescent="0.15">
      <c r="A1199" s="19" t="s">
        <v>6767</v>
      </c>
      <c r="B1199" s="25" t="s">
        <v>7152</v>
      </c>
      <c r="C1199" s="22"/>
      <c r="D1199" s="26" t="str">
        <f t="shared" si="76"/>
        <v>https://kokusho.nijl.ac.jp/biblio/100232367/107</v>
      </c>
      <c r="E1199" s="22"/>
      <c r="F1199" s="22"/>
      <c r="G1199" s="22"/>
    </row>
    <row r="1200" spans="1:7" x14ac:dyDescent="0.15">
      <c r="A1200" s="19" t="s">
        <v>6767</v>
      </c>
      <c r="B1200" s="25" t="s">
        <v>8959</v>
      </c>
      <c r="C1200" s="22"/>
      <c r="D1200" s="26" t="str">
        <f t="shared" si="76"/>
        <v>https://kokusho.nijl.ac.jp/biblio/100232367/107</v>
      </c>
      <c r="E1200" s="22"/>
      <c r="F1200" s="22"/>
      <c r="G1200" s="22"/>
    </row>
    <row r="1201" spans="1:7" x14ac:dyDescent="0.15">
      <c r="A1201" s="19" t="s">
        <v>6767</v>
      </c>
      <c r="B1201" s="25" t="s">
        <v>7153</v>
      </c>
      <c r="C1201" s="22"/>
      <c r="D1201" s="26" t="str">
        <f t="shared" si="76"/>
        <v>https://kokusho.nijl.ac.jp/biblio/100232367/107</v>
      </c>
      <c r="E1201" s="22"/>
      <c r="F1201" s="22"/>
      <c r="G1201" s="22"/>
    </row>
    <row r="1202" spans="1:7" x14ac:dyDescent="0.15">
      <c r="A1202" s="19" t="s">
        <v>6767</v>
      </c>
      <c r="B1202" s="25" t="s">
        <v>7154</v>
      </c>
      <c r="C1202" s="22"/>
      <c r="D1202" s="26" t="str">
        <f t="shared" si="76"/>
        <v>https://kokusho.nijl.ac.jp/biblio/100232367/107</v>
      </c>
      <c r="E1202" s="22"/>
      <c r="F1202" s="22"/>
      <c r="G1202" s="22"/>
    </row>
    <row r="1203" spans="1:7" x14ac:dyDescent="0.15">
      <c r="A1203" s="19" t="s">
        <v>6767</v>
      </c>
      <c r="B1203" s="25" t="s">
        <v>7155</v>
      </c>
      <c r="C1203" s="22"/>
      <c r="D1203" s="26" t="str">
        <f t="shared" si="76"/>
        <v>https://kokusho.nijl.ac.jp/biblio/100232367/107</v>
      </c>
      <c r="E1203" s="22"/>
      <c r="F1203" s="22"/>
      <c r="G1203" s="22"/>
    </row>
    <row r="1204" spans="1:7" x14ac:dyDescent="0.15">
      <c r="A1204" s="19" t="s">
        <v>6767</v>
      </c>
      <c r="B1204" s="25" t="s">
        <v>7156</v>
      </c>
      <c r="C1204" s="22"/>
      <c r="D1204" s="26" t="str">
        <f>HYPERLINK("https://kokusho.nijl.ac.jp/biblio/100232367/108")</f>
        <v>https://kokusho.nijl.ac.jp/biblio/100232367/108</v>
      </c>
      <c r="E1204" s="22"/>
      <c r="F1204" s="22"/>
      <c r="G1204" s="22"/>
    </row>
    <row r="1205" spans="1:7" x14ac:dyDescent="0.15">
      <c r="A1205" s="19" t="s">
        <v>6767</v>
      </c>
      <c r="B1205" s="25" t="s">
        <v>7157</v>
      </c>
      <c r="C1205" s="22"/>
      <c r="D1205" s="26" t="str">
        <f>HYPERLINK("https://kokusho.nijl.ac.jp/biblio/100232367/108")</f>
        <v>https://kokusho.nijl.ac.jp/biblio/100232367/108</v>
      </c>
      <c r="E1205" s="22"/>
      <c r="F1205" s="22"/>
      <c r="G1205" s="22"/>
    </row>
    <row r="1206" spans="1:7" x14ac:dyDescent="0.15">
      <c r="A1206" s="19" t="s">
        <v>6767</v>
      </c>
      <c r="B1206" s="25" t="s">
        <v>7158</v>
      </c>
      <c r="C1206" s="22"/>
      <c r="D1206" s="26" t="str">
        <f>HYPERLINK("https://kokusho.nijl.ac.jp/biblio/100232367/108")</f>
        <v>https://kokusho.nijl.ac.jp/biblio/100232367/108</v>
      </c>
      <c r="E1206" s="22"/>
      <c r="F1206" s="22"/>
      <c r="G1206" s="22"/>
    </row>
    <row r="1207" spans="1:7" x14ac:dyDescent="0.15">
      <c r="A1207" s="19" t="s">
        <v>6767</v>
      </c>
      <c r="B1207" s="25" t="s">
        <v>6251</v>
      </c>
      <c r="C1207" s="22"/>
      <c r="D1207" s="26" t="str">
        <f>HYPERLINK("https://kokusho.nijl.ac.jp/biblio/100232367/109")</f>
        <v>https://kokusho.nijl.ac.jp/biblio/100232367/109</v>
      </c>
      <c r="E1207" s="22"/>
      <c r="F1207" s="22"/>
      <c r="G1207" s="22"/>
    </row>
    <row r="1208" spans="1:7" x14ac:dyDescent="0.15">
      <c r="A1208" s="19" t="s">
        <v>6767</v>
      </c>
      <c r="B1208" s="25" t="s">
        <v>7159</v>
      </c>
      <c r="C1208" s="22"/>
      <c r="D1208" s="26" t="str">
        <f t="shared" ref="D1208:D1215" si="77">HYPERLINK("https://kokusho.nijl.ac.jp/biblio/100232367/110")</f>
        <v>https://kokusho.nijl.ac.jp/biblio/100232367/110</v>
      </c>
      <c r="E1208" s="22"/>
      <c r="F1208" s="22"/>
      <c r="G1208" s="22"/>
    </row>
    <row r="1209" spans="1:7" x14ac:dyDescent="0.15">
      <c r="A1209" s="19" t="s">
        <v>6767</v>
      </c>
      <c r="B1209" s="25" t="s">
        <v>7160</v>
      </c>
      <c r="C1209" s="22"/>
      <c r="D1209" s="26" t="str">
        <f t="shared" si="77"/>
        <v>https://kokusho.nijl.ac.jp/biblio/100232367/110</v>
      </c>
      <c r="E1209" s="22"/>
      <c r="F1209" s="22"/>
      <c r="G1209" s="22"/>
    </row>
    <row r="1210" spans="1:7" x14ac:dyDescent="0.15">
      <c r="A1210" s="19" t="s">
        <v>6767</v>
      </c>
      <c r="B1210" s="25" t="s">
        <v>7161</v>
      </c>
      <c r="C1210" s="22"/>
      <c r="D1210" s="26" t="str">
        <f t="shared" si="77"/>
        <v>https://kokusho.nijl.ac.jp/biblio/100232367/110</v>
      </c>
      <c r="E1210" s="22"/>
      <c r="F1210" s="22"/>
      <c r="G1210" s="22"/>
    </row>
    <row r="1211" spans="1:7" x14ac:dyDescent="0.15">
      <c r="A1211" s="19" t="s">
        <v>6767</v>
      </c>
      <c r="B1211" s="25" t="s">
        <v>7162</v>
      </c>
      <c r="C1211" s="22"/>
      <c r="D1211" s="26" t="str">
        <f t="shared" si="77"/>
        <v>https://kokusho.nijl.ac.jp/biblio/100232367/110</v>
      </c>
      <c r="E1211" s="22"/>
      <c r="F1211" s="22"/>
      <c r="G1211" s="22"/>
    </row>
    <row r="1212" spans="1:7" x14ac:dyDescent="0.15">
      <c r="A1212" s="19" t="s">
        <v>6767</v>
      </c>
      <c r="B1212" s="25" t="s">
        <v>7163</v>
      </c>
      <c r="C1212" s="22"/>
      <c r="D1212" s="26" t="str">
        <f t="shared" si="77"/>
        <v>https://kokusho.nijl.ac.jp/biblio/100232367/110</v>
      </c>
      <c r="E1212" s="22"/>
      <c r="F1212" s="22"/>
      <c r="G1212" s="22"/>
    </row>
    <row r="1213" spans="1:7" ht="40.5" x14ac:dyDescent="0.15">
      <c r="A1213" s="19" t="s">
        <v>6767</v>
      </c>
      <c r="B1213" s="25" t="s">
        <v>7164</v>
      </c>
      <c r="C1213" s="22"/>
      <c r="D1213" s="26" t="str">
        <f t="shared" si="77"/>
        <v>https://kokusho.nijl.ac.jp/biblio/100232367/110</v>
      </c>
      <c r="E1213" s="22"/>
      <c r="F1213" s="22"/>
      <c r="G1213" s="22"/>
    </row>
    <row r="1214" spans="1:7" x14ac:dyDescent="0.15">
      <c r="A1214" s="19" t="s">
        <v>6767</v>
      </c>
      <c r="B1214" s="25" t="s">
        <v>7165</v>
      </c>
      <c r="C1214" s="22"/>
      <c r="D1214" s="26" t="str">
        <f t="shared" si="77"/>
        <v>https://kokusho.nijl.ac.jp/biblio/100232367/110</v>
      </c>
      <c r="E1214" s="22"/>
      <c r="F1214" s="22"/>
      <c r="G1214" s="22"/>
    </row>
    <row r="1215" spans="1:7" x14ac:dyDescent="0.15">
      <c r="A1215" s="19" t="s">
        <v>6767</v>
      </c>
      <c r="B1215" s="25" t="s">
        <v>7166</v>
      </c>
      <c r="C1215" s="22"/>
      <c r="D1215" s="26" t="str">
        <f t="shared" si="77"/>
        <v>https://kokusho.nijl.ac.jp/biblio/100232367/110</v>
      </c>
      <c r="E1215" s="22"/>
      <c r="F1215" s="22"/>
      <c r="G1215" s="22"/>
    </row>
    <row r="1216" spans="1:7" x14ac:dyDescent="0.15">
      <c r="A1216" s="19" t="s">
        <v>6767</v>
      </c>
      <c r="B1216" s="25" t="s">
        <v>6590</v>
      </c>
      <c r="C1216" s="22"/>
      <c r="D1216" s="26" t="str">
        <f>HYPERLINK("https://kokusho.nijl.ac.jp/biblio/100232367/111")</f>
        <v>https://kokusho.nijl.ac.jp/biblio/100232367/111</v>
      </c>
      <c r="E1216" s="22"/>
      <c r="F1216" s="22"/>
      <c r="G1216" s="22"/>
    </row>
    <row r="1217" spans="1:7" x14ac:dyDescent="0.15">
      <c r="A1217" s="19" t="s">
        <v>6767</v>
      </c>
      <c r="B1217" s="25" t="s">
        <v>7167</v>
      </c>
      <c r="C1217" s="22"/>
      <c r="D1217" s="26" t="str">
        <f>HYPERLINK("https://kokusho.nijl.ac.jp/biblio/100232367/111")</f>
        <v>https://kokusho.nijl.ac.jp/biblio/100232367/111</v>
      </c>
      <c r="E1217" s="22"/>
      <c r="F1217" s="22"/>
      <c r="G1217" s="22"/>
    </row>
    <row r="1218" spans="1:7" x14ac:dyDescent="0.15">
      <c r="A1218" s="19" t="s">
        <v>6767</v>
      </c>
      <c r="B1218" s="25" t="s">
        <v>7168</v>
      </c>
      <c r="C1218" s="22"/>
      <c r="D1218" s="26" t="str">
        <f>HYPERLINK("https://kokusho.nijl.ac.jp/biblio/100232367/111")</f>
        <v>https://kokusho.nijl.ac.jp/biblio/100232367/111</v>
      </c>
      <c r="E1218" s="22"/>
      <c r="F1218" s="22"/>
      <c r="G1218" s="22"/>
    </row>
    <row r="1219" spans="1:7" x14ac:dyDescent="0.15">
      <c r="A1219" s="19" t="s">
        <v>6767</v>
      </c>
      <c r="B1219" s="25" t="s">
        <v>7169</v>
      </c>
      <c r="C1219" s="22"/>
      <c r="D1219" s="26" t="str">
        <f>HYPERLINK("https://kokusho.nijl.ac.jp/biblio/100232367/111")</f>
        <v>https://kokusho.nijl.ac.jp/biblio/100232367/111</v>
      </c>
      <c r="E1219" s="22"/>
      <c r="F1219" s="22"/>
      <c r="G1219" s="22"/>
    </row>
    <row r="1220" spans="1:7" x14ac:dyDescent="0.15">
      <c r="A1220" s="19" t="s">
        <v>6767</v>
      </c>
      <c r="B1220" s="25" t="s">
        <v>7170</v>
      </c>
      <c r="C1220" s="22"/>
      <c r="D1220" s="26" t="str">
        <f>HYPERLINK("https://kokusho.nijl.ac.jp/biblio/100232367/111")</f>
        <v>https://kokusho.nijl.ac.jp/biblio/100232367/111</v>
      </c>
      <c r="E1220" s="22"/>
      <c r="F1220" s="22"/>
      <c r="G1220" s="22"/>
    </row>
    <row r="1221" spans="1:7" x14ac:dyDescent="0.15">
      <c r="A1221" s="19" t="s">
        <v>6767</v>
      </c>
      <c r="B1221" s="25" t="s">
        <v>7171</v>
      </c>
      <c r="C1221" s="22"/>
      <c r="D1221" s="26" t="str">
        <f>HYPERLINK("https://kokusho.nijl.ac.jp/biblio/100232367/112")</f>
        <v>https://kokusho.nijl.ac.jp/biblio/100232367/112</v>
      </c>
      <c r="E1221" s="22"/>
      <c r="F1221" s="22"/>
      <c r="G1221" s="22"/>
    </row>
    <row r="1222" spans="1:7" x14ac:dyDescent="0.15">
      <c r="A1222" s="19" t="s">
        <v>6767</v>
      </c>
      <c r="B1222" s="25" t="s">
        <v>7172</v>
      </c>
      <c r="C1222" s="22"/>
      <c r="D1222" s="26" t="str">
        <f>HYPERLINK("https://kokusho.nijl.ac.jp/biblio/100232367/112")</f>
        <v>https://kokusho.nijl.ac.jp/biblio/100232367/112</v>
      </c>
      <c r="E1222" s="22"/>
      <c r="F1222" s="22"/>
      <c r="G1222" s="22"/>
    </row>
    <row r="1223" spans="1:7" x14ac:dyDescent="0.15">
      <c r="A1223" s="19" t="s">
        <v>6767</v>
      </c>
      <c r="B1223" s="25" t="s">
        <v>7173</v>
      </c>
      <c r="C1223" s="22"/>
      <c r="D1223" s="26" t="str">
        <f>HYPERLINK("https://kokusho.nijl.ac.jp/biblio/100232367/112")</f>
        <v>https://kokusho.nijl.ac.jp/biblio/100232367/112</v>
      </c>
      <c r="E1223" s="22"/>
      <c r="F1223" s="22"/>
      <c r="G1223" s="22"/>
    </row>
    <row r="1224" spans="1:7" x14ac:dyDescent="0.15">
      <c r="A1224" s="19" t="s">
        <v>6767</v>
      </c>
      <c r="B1224" s="25" t="s">
        <v>7174</v>
      </c>
      <c r="C1224" s="22"/>
      <c r="D1224" s="26" t="str">
        <f>HYPERLINK("https://kokusho.nijl.ac.jp/biblio/100232367/112")</f>
        <v>https://kokusho.nijl.ac.jp/biblio/100232367/112</v>
      </c>
      <c r="E1224" s="22"/>
      <c r="F1224" s="22"/>
      <c r="G1224" s="22"/>
    </row>
    <row r="1225" spans="1:7" x14ac:dyDescent="0.15">
      <c r="A1225" s="19" t="s">
        <v>6767</v>
      </c>
      <c r="B1225" s="25" t="s">
        <v>7175</v>
      </c>
      <c r="C1225" s="22"/>
      <c r="D1225" s="26" t="str">
        <f>HYPERLINK("https://kokusho.nijl.ac.jp/biblio/100232367/112")</f>
        <v>https://kokusho.nijl.ac.jp/biblio/100232367/112</v>
      </c>
      <c r="E1225" s="22"/>
      <c r="F1225" s="22"/>
      <c r="G1225" s="22"/>
    </row>
    <row r="1226" spans="1:7" x14ac:dyDescent="0.15">
      <c r="A1226" s="19" t="s">
        <v>6767</v>
      </c>
      <c r="B1226" s="25" t="s">
        <v>7176</v>
      </c>
      <c r="C1226" s="22"/>
      <c r="D1226" s="26" t="str">
        <f t="shared" ref="D1226:D1231" si="78">HYPERLINK("https://kokusho.nijl.ac.jp/biblio/100232367/113")</f>
        <v>https://kokusho.nijl.ac.jp/biblio/100232367/113</v>
      </c>
      <c r="E1226" s="22"/>
      <c r="F1226" s="22"/>
      <c r="G1226" s="22"/>
    </row>
    <row r="1227" spans="1:7" x14ac:dyDescent="0.15">
      <c r="A1227" s="19" t="s">
        <v>6767</v>
      </c>
      <c r="B1227" s="25" t="s">
        <v>7177</v>
      </c>
      <c r="C1227" s="22"/>
      <c r="D1227" s="26" t="str">
        <f t="shared" si="78"/>
        <v>https://kokusho.nijl.ac.jp/biblio/100232367/113</v>
      </c>
      <c r="E1227" s="22"/>
      <c r="F1227" s="22"/>
      <c r="G1227" s="22"/>
    </row>
    <row r="1228" spans="1:7" x14ac:dyDescent="0.15">
      <c r="A1228" s="19" t="s">
        <v>6767</v>
      </c>
      <c r="B1228" s="25" t="s">
        <v>7178</v>
      </c>
      <c r="C1228" s="22"/>
      <c r="D1228" s="26" t="str">
        <f t="shared" si="78"/>
        <v>https://kokusho.nijl.ac.jp/biblio/100232367/113</v>
      </c>
      <c r="E1228" s="22"/>
      <c r="F1228" s="22"/>
      <c r="G1228" s="22"/>
    </row>
    <row r="1229" spans="1:7" x14ac:dyDescent="0.15">
      <c r="A1229" s="19" t="s">
        <v>6767</v>
      </c>
      <c r="B1229" s="25" t="s">
        <v>7179</v>
      </c>
      <c r="C1229" s="22"/>
      <c r="D1229" s="26" t="str">
        <f t="shared" si="78"/>
        <v>https://kokusho.nijl.ac.jp/biblio/100232367/113</v>
      </c>
      <c r="E1229" s="22"/>
      <c r="F1229" s="22"/>
      <c r="G1229" s="22"/>
    </row>
    <row r="1230" spans="1:7" x14ac:dyDescent="0.15">
      <c r="A1230" s="19" t="s">
        <v>6767</v>
      </c>
      <c r="B1230" s="25" t="s">
        <v>7180</v>
      </c>
      <c r="C1230" s="22"/>
      <c r="D1230" s="26" t="str">
        <f t="shared" si="78"/>
        <v>https://kokusho.nijl.ac.jp/biblio/100232367/113</v>
      </c>
      <c r="E1230" s="22"/>
      <c r="F1230" s="22"/>
      <c r="G1230" s="22"/>
    </row>
    <row r="1231" spans="1:7" x14ac:dyDescent="0.15">
      <c r="A1231" s="19" t="s">
        <v>6767</v>
      </c>
      <c r="B1231" s="25" t="s">
        <v>7181</v>
      </c>
      <c r="C1231" s="22"/>
      <c r="D1231" s="26" t="str">
        <f t="shared" si="78"/>
        <v>https://kokusho.nijl.ac.jp/biblio/100232367/113</v>
      </c>
      <c r="E1231" s="22"/>
      <c r="F1231" s="22"/>
      <c r="G1231" s="22"/>
    </row>
    <row r="1232" spans="1:7" x14ac:dyDescent="0.15">
      <c r="A1232" s="19" t="s">
        <v>6767</v>
      </c>
      <c r="B1232" s="25" t="s">
        <v>7182</v>
      </c>
      <c r="C1232" s="22"/>
      <c r="D1232" s="26" t="str">
        <f>HYPERLINK("https://kokusho.nijl.ac.jp/biblio/100232367/114")</f>
        <v>https://kokusho.nijl.ac.jp/biblio/100232367/114</v>
      </c>
      <c r="E1232" s="22"/>
      <c r="F1232" s="22"/>
      <c r="G1232" s="22"/>
    </row>
    <row r="1233" spans="1:7" x14ac:dyDescent="0.15">
      <c r="A1233" s="19" t="s">
        <v>6767</v>
      </c>
      <c r="B1233" s="25" t="s">
        <v>6598</v>
      </c>
      <c r="C1233" s="22"/>
      <c r="D1233" s="26" t="str">
        <f>HYPERLINK("https://kokusho.nijl.ac.jp/biblio/100232367/114")</f>
        <v>https://kokusho.nijl.ac.jp/biblio/100232367/114</v>
      </c>
      <c r="E1233" s="22"/>
      <c r="F1233" s="22"/>
      <c r="G1233" s="22"/>
    </row>
    <row r="1234" spans="1:7" x14ac:dyDescent="0.15">
      <c r="A1234" s="19" t="s">
        <v>6767</v>
      </c>
      <c r="B1234" s="25" t="s">
        <v>7183</v>
      </c>
      <c r="C1234" s="22"/>
      <c r="D1234" s="26" t="str">
        <f>HYPERLINK("https://kokusho.nijl.ac.jp/biblio/100232367/114")</f>
        <v>https://kokusho.nijl.ac.jp/biblio/100232367/114</v>
      </c>
      <c r="E1234" s="22"/>
      <c r="F1234" s="22"/>
      <c r="G1234" s="22"/>
    </row>
    <row r="1235" spans="1:7" x14ac:dyDescent="0.15">
      <c r="A1235" s="19" t="s">
        <v>6767</v>
      </c>
      <c r="B1235" s="25" t="s">
        <v>6594</v>
      </c>
      <c r="C1235" s="22"/>
      <c r="D1235" s="26" t="str">
        <f>HYPERLINK("https://kokusho.nijl.ac.jp/biblio/100232367/114")</f>
        <v>https://kokusho.nijl.ac.jp/biblio/100232367/114</v>
      </c>
      <c r="E1235" s="22"/>
      <c r="F1235" s="22"/>
      <c r="G1235" s="22"/>
    </row>
    <row r="1236" spans="1:7" x14ac:dyDescent="0.15">
      <c r="A1236" s="19" t="s">
        <v>6767</v>
      </c>
      <c r="B1236" s="25" t="s">
        <v>6602</v>
      </c>
      <c r="C1236" s="22"/>
      <c r="D1236" s="26" t="str">
        <f>HYPERLINK("https://kokusho.nijl.ac.jp/biblio/100232367/115")</f>
        <v>https://kokusho.nijl.ac.jp/biblio/100232367/115</v>
      </c>
      <c r="E1236" s="22"/>
      <c r="F1236" s="22"/>
      <c r="G1236" s="22"/>
    </row>
    <row r="1237" spans="1:7" x14ac:dyDescent="0.15">
      <c r="A1237" s="19" t="s">
        <v>6767</v>
      </c>
      <c r="B1237" s="25" t="s">
        <v>7184</v>
      </c>
      <c r="C1237" s="22"/>
      <c r="D1237" s="26" t="str">
        <f t="shared" ref="D1237:D1242" si="79">HYPERLINK("https://kokusho.nijl.ac.jp/biblio/100232367/116")</f>
        <v>https://kokusho.nijl.ac.jp/biblio/100232367/116</v>
      </c>
      <c r="E1237" s="22"/>
      <c r="F1237" s="22"/>
      <c r="G1237" s="22"/>
    </row>
    <row r="1238" spans="1:7" x14ac:dyDescent="0.15">
      <c r="A1238" s="19" t="s">
        <v>6767</v>
      </c>
      <c r="B1238" s="25" t="s">
        <v>7185</v>
      </c>
      <c r="C1238" s="22"/>
      <c r="D1238" s="26" t="str">
        <f t="shared" si="79"/>
        <v>https://kokusho.nijl.ac.jp/biblio/100232367/116</v>
      </c>
      <c r="E1238" s="22"/>
      <c r="F1238" s="22"/>
      <c r="G1238" s="22"/>
    </row>
    <row r="1239" spans="1:7" x14ac:dyDescent="0.15">
      <c r="A1239" s="19" t="s">
        <v>6767</v>
      </c>
      <c r="B1239" s="25" t="s">
        <v>7186</v>
      </c>
      <c r="C1239" s="22"/>
      <c r="D1239" s="26" t="str">
        <f t="shared" si="79"/>
        <v>https://kokusho.nijl.ac.jp/biblio/100232367/116</v>
      </c>
      <c r="E1239" s="22"/>
      <c r="F1239" s="22"/>
      <c r="G1239" s="22"/>
    </row>
    <row r="1240" spans="1:7" x14ac:dyDescent="0.15">
      <c r="A1240" s="19" t="s">
        <v>6767</v>
      </c>
      <c r="B1240" s="25" t="s">
        <v>7187</v>
      </c>
      <c r="C1240" s="22"/>
      <c r="D1240" s="26" t="str">
        <f t="shared" si="79"/>
        <v>https://kokusho.nijl.ac.jp/biblio/100232367/116</v>
      </c>
      <c r="E1240" s="22"/>
      <c r="F1240" s="22"/>
      <c r="G1240" s="22"/>
    </row>
    <row r="1241" spans="1:7" x14ac:dyDescent="0.15">
      <c r="A1241" s="19" t="s">
        <v>6767</v>
      </c>
      <c r="B1241" s="25" t="s">
        <v>7188</v>
      </c>
      <c r="C1241" s="22"/>
      <c r="D1241" s="26" t="str">
        <f t="shared" si="79"/>
        <v>https://kokusho.nijl.ac.jp/biblio/100232367/116</v>
      </c>
      <c r="E1241" s="22"/>
      <c r="F1241" s="22"/>
      <c r="G1241" s="22"/>
    </row>
    <row r="1242" spans="1:7" x14ac:dyDescent="0.15">
      <c r="A1242" s="19" t="s">
        <v>6767</v>
      </c>
      <c r="B1242" s="25" t="s">
        <v>7189</v>
      </c>
      <c r="C1242" s="22"/>
      <c r="D1242" s="26" t="str">
        <f t="shared" si="79"/>
        <v>https://kokusho.nijl.ac.jp/biblio/100232367/116</v>
      </c>
      <c r="E1242" s="22"/>
      <c r="F1242" s="22"/>
      <c r="G1242" s="22"/>
    </row>
    <row r="1243" spans="1:7" x14ac:dyDescent="0.15">
      <c r="A1243" s="19" t="s">
        <v>6767</v>
      </c>
      <c r="B1243" s="25" t="s">
        <v>7190</v>
      </c>
      <c r="C1243" s="22"/>
      <c r="D1243" s="26" t="str">
        <f t="shared" ref="D1243:D1248" si="80">HYPERLINK("https://kokusho.nijl.ac.jp/biblio/100232367/118")</f>
        <v>https://kokusho.nijl.ac.jp/biblio/100232367/118</v>
      </c>
      <c r="E1243" s="22"/>
      <c r="F1243" s="22"/>
      <c r="G1243" s="22"/>
    </row>
    <row r="1244" spans="1:7" x14ac:dyDescent="0.15">
      <c r="A1244" s="19" t="s">
        <v>6767</v>
      </c>
      <c r="B1244" s="25" t="s">
        <v>7191</v>
      </c>
      <c r="C1244" s="22"/>
      <c r="D1244" s="26" t="str">
        <f t="shared" si="80"/>
        <v>https://kokusho.nijl.ac.jp/biblio/100232367/118</v>
      </c>
      <c r="E1244" s="22"/>
      <c r="F1244" s="22"/>
      <c r="G1244" s="22"/>
    </row>
    <row r="1245" spans="1:7" x14ac:dyDescent="0.15">
      <c r="A1245" s="19" t="s">
        <v>6767</v>
      </c>
      <c r="B1245" s="25" t="s">
        <v>7192</v>
      </c>
      <c r="C1245" s="22"/>
      <c r="D1245" s="26" t="str">
        <f t="shared" si="80"/>
        <v>https://kokusho.nijl.ac.jp/biblio/100232367/118</v>
      </c>
      <c r="E1245" s="22"/>
      <c r="F1245" s="22"/>
      <c r="G1245" s="22"/>
    </row>
    <row r="1246" spans="1:7" x14ac:dyDescent="0.15">
      <c r="A1246" s="19" t="s">
        <v>6767</v>
      </c>
      <c r="B1246" s="25" t="s">
        <v>7193</v>
      </c>
      <c r="C1246" s="22"/>
      <c r="D1246" s="26" t="str">
        <f t="shared" si="80"/>
        <v>https://kokusho.nijl.ac.jp/biblio/100232367/118</v>
      </c>
      <c r="E1246" s="22"/>
      <c r="F1246" s="22"/>
      <c r="G1246" s="22"/>
    </row>
    <row r="1247" spans="1:7" x14ac:dyDescent="0.15">
      <c r="A1247" s="19" t="s">
        <v>6767</v>
      </c>
      <c r="B1247" s="25" t="s">
        <v>7194</v>
      </c>
      <c r="C1247" s="22"/>
      <c r="D1247" s="26" t="str">
        <f t="shared" si="80"/>
        <v>https://kokusho.nijl.ac.jp/biblio/100232367/118</v>
      </c>
      <c r="E1247" s="22"/>
      <c r="F1247" s="22"/>
      <c r="G1247" s="22"/>
    </row>
    <row r="1248" spans="1:7" x14ac:dyDescent="0.15">
      <c r="A1248" s="19" t="s">
        <v>6767</v>
      </c>
      <c r="B1248" s="25" t="s">
        <v>7195</v>
      </c>
      <c r="C1248" s="22"/>
      <c r="D1248" s="26" t="str">
        <f t="shared" si="80"/>
        <v>https://kokusho.nijl.ac.jp/biblio/100232367/118</v>
      </c>
      <c r="E1248" s="22"/>
      <c r="F1248" s="22"/>
      <c r="G1248" s="22"/>
    </row>
    <row r="1249" spans="1:7" x14ac:dyDescent="0.15">
      <c r="A1249" s="19" t="s">
        <v>6767</v>
      </c>
      <c r="B1249" s="25" t="s">
        <v>7196</v>
      </c>
      <c r="C1249" s="22"/>
      <c r="D1249" s="26" t="str">
        <f>HYPERLINK("https://kokusho.nijl.ac.jp/biblio/100232367/119")</f>
        <v>https://kokusho.nijl.ac.jp/biblio/100232367/119</v>
      </c>
      <c r="E1249" s="22"/>
      <c r="F1249" s="22"/>
      <c r="G1249" s="22"/>
    </row>
    <row r="1250" spans="1:7" x14ac:dyDescent="0.15">
      <c r="A1250" s="19" t="s">
        <v>6767</v>
      </c>
      <c r="B1250" s="25" t="s">
        <v>7197</v>
      </c>
      <c r="C1250" s="22"/>
      <c r="D1250" s="26" t="str">
        <f>HYPERLINK("https://kokusho.nijl.ac.jp/biblio/100232367/119")</f>
        <v>https://kokusho.nijl.ac.jp/biblio/100232367/119</v>
      </c>
      <c r="E1250" s="22"/>
      <c r="F1250" s="22"/>
      <c r="G1250" s="22"/>
    </row>
    <row r="1251" spans="1:7" x14ac:dyDescent="0.15">
      <c r="A1251" s="19" t="s">
        <v>6767</v>
      </c>
      <c r="B1251" s="25" t="s">
        <v>7198</v>
      </c>
      <c r="C1251" s="22"/>
      <c r="D1251" s="26" t="str">
        <f>HYPERLINK("https://kokusho.nijl.ac.jp/biblio/100232367/119")</f>
        <v>https://kokusho.nijl.ac.jp/biblio/100232367/119</v>
      </c>
      <c r="E1251" s="22"/>
      <c r="F1251" s="22"/>
      <c r="G1251" s="22"/>
    </row>
    <row r="1252" spans="1:7" x14ac:dyDescent="0.15">
      <c r="A1252" s="19" t="s">
        <v>6767</v>
      </c>
      <c r="B1252" s="25" t="s">
        <v>7199</v>
      </c>
      <c r="C1252" s="22"/>
      <c r="D1252" s="26" t="str">
        <f>HYPERLINK("https://kokusho.nijl.ac.jp/biblio/100232367/119")</f>
        <v>https://kokusho.nijl.ac.jp/biblio/100232367/119</v>
      </c>
      <c r="E1252" s="22"/>
      <c r="F1252" s="22"/>
      <c r="G1252" s="22"/>
    </row>
    <row r="1253" spans="1:7" x14ac:dyDescent="0.15">
      <c r="A1253" s="19" t="s">
        <v>6767</v>
      </c>
      <c r="B1253" s="25" t="s">
        <v>7200</v>
      </c>
      <c r="C1253" s="22"/>
      <c r="D1253" s="26" t="str">
        <f>HYPERLINK("https://kokusho.nijl.ac.jp/biblio/100232367/119")</f>
        <v>https://kokusho.nijl.ac.jp/biblio/100232367/119</v>
      </c>
      <c r="E1253" s="22"/>
      <c r="F1253" s="22"/>
      <c r="G1253" s="22"/>
    </row>
    <row r="1254" spans="1:7" x14ac:dyDescent="0.15">
      <c r="A1254" s="19" t="s">
        <v>6767</v>
      </c>
      <c r="B1254" s="25" t="s">
        <v>7201</v>
      </c>
      <c r="C1254" s="22"/>
      <c r="D1254" s="26" t="str">
        <f t="shared" ref="D1254:D1261" si="81">HYPERLINK("https://kokusho.nijl.ac.jp/biblio/100232367/120")</f>
        <v>https://kokusho.nijl.ac.jp/biblio/100232367/120</v>
      </c>
      <c r="E1254" s="22"/>
      <c r="F1254" s="22"/>
      <c r="G1254" s="22"/>
    </row>
    <row r="1255" spans="1:7" x14ac:dyDescent="0.15">
      <c r="A1255" s="19" t="s">
        <v>6767</v>
      </c>
      <c r="B1255" s="25" t="s">
        <v>7202</v>
      </c>
      <c r="C1255" s="22"/>
      <c r="D1255" s="26" t="str">
        <f t="shared" si="81"/>
        <v>https://kokusho.nijl.ac.jp/biblio/100232367/120</v>
      </c>
      <c r="E1255" s="22"/>
      <c r="F1255" s="22"/>
      <c r="G1255" s="22"/>
    </row>
    <row r="1256" spans="1:7" x14ac:dyDescent="0.15">
      <c r="A1256" s="19" t="s">
        <v>6767</v>
      </c>
      <c r="B1256" s="25" t="s">
        <v>5709</v>
      </c>
      <c r="C1256" s="22"/>
      <c r="D1256" s="26" t="str">
        <f t="shared" si="81"/>
        <v>https://kokusho.nijl.ac.jp/biblio/100232367/120</v>
      </c>
      <c r="E1256" s="22"/>
      <c r="F1256" s="22"/>
      <c r="G1256" s="22"/>
    </row>
    <row r="1257" spans="1:7" ht="18.75" x14ac:dyDescent="0.15">
      <c r="A1257" s="19" t="s">
        <v>6767</v>
      </c>
      <c r="B1257" s="25" t="s">
        <v>8960</v>
      </c>
      <c r="C1257" s="22"/>
      <c r="D1257" s="26" t="str">
        <f t="shared" si="81"/>
        <v>https://kokusho.nijl.ac.jp/biblio/100232367/120</v>
      </c>
      <c r="E1257" s="22"/>
      <c r="F1257" s="22"/>
      <c r="G1257" s="22"/>
    </row>
    <row r="1258" spans="1:7" x14ac:dyDescent="0.15">
      <c r="A1258" s="19" t="s">
        <v>6767</v>
      </c>
      <c r="B1258" s="25" t="s">
        <v>7203</v>
      </c>
      <c r="C1258" s="22"/>
      <c r="D1258" s="26" t="str">
        <f t="shared" si="81"/>
        <v>https://kokusho.nijl.ac.jp/biblio/100232367/120</v>
      </c>
      <c r="E1258" s="22"/>
      <c r="F1258" s="22"/>
      <c r="G1258" s="22"/>
    </row>
    <row r="1259" spans="1:7" x14ac:dyDescent="0.15">
      <c r="A1259" s="19" t="s">
        <v>6767</v>
      </c>
      <c r="B1259" s="25" t="s">
        <v>7204</v>
      </c>
      <c r="C1259" s="22"/>
      <c r="D1259" s="26" t="str">
        <f t="shared" si="81"/>
        <v>https://kokusho.nijl.ac.jp/biblio/100232367/120</v>
      </c>
      <c r="E1259" s="22"/>
      <c r="F1259" s="22"/>
      <c r="G1259" s="22"/>
    </row>
    <row r="1260" spans="1:7" x14ac:dyDescent="0.15">
      <c r="A1260" s="19" t="s">
        <v>6767</v>
      </c>
      <c r="B1260" s="25" t="s">
        <v>7205</v>
      </c>
      <c r="C1260" s="22"/>
      <c r="D1260" s="26" t="str">
        <f t="shared" si="81"/>
        <v>https://kokusho.nijl.ac.jp/biblio/100232367/120</v>
      </c>
      <c r="E1260" s="22"/>
      <c r="F1260" s="22"/>
      <c r="G1260" s="22"/>
    </row>
    <row r="1261" spans="1:7" x14ac:dyDescent="0.15">
      <c r="A1261" s="19" t="s">
        <v>6767</v>
      </c>
      <c r="B1261" s="25" t="s">
        <v>7206</v>
      </c>
      <c r="C1261" s="22"/>
      <c r="D1261" s="26" t="str">
        <f t="shared" si="81"/>
        <v>https://kokusho.nijl.ac.jp/biblio/100232367/120</v>
      </c>
      <c r="E1261" s="22"/>
      <c r="F1261" s="22"/>
      <c r="G1261" s="22"/>
    </row>
    <row r="1262" spans="1:7" x14ac:dyDescent="0.15">
      <c r="A1262" s="19" t="s">
        <v>6767</v>
      </c>
      <c r="B1262" s="25" t="s">
        <v>7207</v>
      </c>
      <c r="C1262" s="22"/>
      <c r="D1262" s="26" t="str">
        <f t="shared" ref="D1262:D1268" si="82">HYPERLINK("https://kokusho.nijl.ac.jp/biblio/100232367/121")</f>
        <v>https://kokusho.nijl.ac.jp/biblio/100232367/121</v>
      </c>
      <c r="E1262" s="22"/>
      <c r="F1262" s="22"/>
      <c r="G1262" s="22"/>
    </row>
    <row r="1263" spans="1:7" x14ac:dyDescent="0.15">
      <c r="A1263" s="19" t="s">
        <v>6767</v>
      </c>
      <c r="B1263" s="25" t="s">
        <v>7208</v>
      </c>
      <c r="C1263" s="22"/>
      <c r="D1263" s="26" t="str">
        <f t="shared" si="82"/>
        <v>https://kokusho.nijl.ac.jp/biblio/100232367/121</v>
      </c>
      <c r="E1263" s="22"/>
      <c r="F1263" s="22"/>
      <c r="G1263" s="22"/>
    </row>
    <row r="1264" spans="1:7" x14ac:dyDescent="0.15">
      <c r="A1264" s="19" t="s">
        <v>6767</v>
      </c>
      <c r="B1264" s="25" t="s">
        <v>7209</v>
      </c>
      <c r="C1264" s="22"/>
      <c r="D1264" s="26" t="str">
        <f t="shared" si="82"/>
        <v>https://kokusho.nijl.ac.jp/biblio/100232367/121</v>
      </c>
      <c r="E1264" s="22"/>
      <c r="F1264" s="22"/>
      <c r="G1264" s="22"/>
    </row>
    <row r="1265" spans="1:7" x14ac:dyDescent="0.15">
      <c r="A1265" s="19" t="s">
        <v>6767</v>
      </c>
      <c r="B1265" s="25" t="s">
        <v>7210</v>
      </c>
      <c r="C1265" s="22"/>
      <c r="D1265" s="26" t="str">
        <f t="shared" si="82"/>
        <v>https://kokusho.nijl.ac.jp/biblio/100232367/121</v>
      </c>
      <c r="E1265" s="22"/>
      <c r="F1265" s="22"/>
      <c r="G1265" s="22"/>
    </row>
    <row r="1266" spans="1:7" x14ac:dyDescent="0.15">
      <c r="A1266" s="19" t="s">
        <v>6767</v>
      </c>
      <c r="B1266" s="25" t="s">
        <v>7211</v>
      </c>
      <c r="C1266" s="22"/>
      <c r="D1266" s="26" t="str">
        <f t="shared" si="82"/>
        <v>https://kokusho.nijl.ac.jp/biblio/100232367/121</v>
      </c>
      <c r="E1266" s="22"/>
      <c r="F1266" s="22"/>
      <c r="G1266" s="22"/>
    </row>
    <row r="1267" spans="1:7" x14ac:dyDescent="0.15">
      <c r="A1267" s="19" t="s">
        <v>6767</v>
      </c>
      <c r="B1267" s="25" t="s">
        <v>7212</v>
      </c>
      <c r="C1267" s="22"/>
      <c r="D1267" s="26" t="str">
        <f t="shared" si="82"/>
        <v>https://kokusho.nijl.ac.jp/biblio/100232367/121</v>
      </c>
      <c r="E1267" s="22"/>
      <c r="F1267" s="22"/>
      <c r="G1267" s="22"/>
    </row>
    <row r="1268" spans="1:7" x14ac:dyDescent="0.15">
      <c r="A1268" s="19" t="s">
        <v>6767</v>
      </c>
      <c r="B1268" s="25" t="s">
        <v>7213</v>
      </c>
      <c r="C1268" s="22"/>
      <c r="D1268" s="26" t="str">
        <f t="shared" si="82"/>
        <v>https://kokusho.nijl.ac.jp/biblio/100232367/121</v>
      </c>
      <c r="E1268" s="22"/>
      <c r="F1268" s="22"/>
      <c r="G1268" s="22"/>
    </row>
    <row r="1269" spans="1:7" x14ac:dyDescent="0.15">
      <c r="A1269" s="19" t="s">
        <v>6767</v>
      </c>
      <c r="B1269" s="25" t="s">
        <v>7214</v>
      </c>
      <c r="C1269" s="22"/>
      <c r="D1269" s="26" t="str">
        <f>HYPERLINK("https://kokusho.nijl.ac.jp/biblio/100232367/122")</f>
        <v>https://kokusho.nijl.ac.jp/biblio/100232367/122</v>
      </c>
      <c r="E1269" s="22"/>
      <c r="F1269" s="22"/>
      <c r="G1269" s="22"/>
    </row>
    <row r="1270" spans="1:7" x14ac:dyDescent="0.15">
      <c r="A1270" s="19" t="s">
        <v>6767</v>
      </c>
      <c r="B1270" s="25" t="s">
        <v>7215</v>
      </c>
      <c r="C1270" s="22"/>
      <c r="D1270" s="26" t="str">
        <f>HYPERLINK("https://kokusho.nijl.ac.jp/biblio/100232367/122")</f>
        <v>https://kokusho.nijl.ac.jp/biblio/100232367/122</v>
      </c>
      <c r="E1270" s="22"/>
      <c r="F1270" s="22"/>
      <c r="G1270" s="22"/>
    </row>
    <row r="1271" spans="1:7" x14ac:dyDescent="0.15">
      <c r="A1271" s="19" t="s">
        <v>6767</v>
      </c>
      <c r="B1271" s="25" t="s">
        <v>7216</v>
      </c>
      <c r="C1271" s="22"/>
      <c r="D1271" s="26" t="str">
        <f>HYPERLINK("https://kokusho.nijl.ac.jp/biblio/100232367/122")</f>
        <v>https://kokusho.nijl.ac.jp/biblio/100232367/122</v>
      </c>
      <c r="E1271" s="22"/>
      <c r="F1271" s="22"/>
      <c r="G1271" s="22"/>
    </row>
    <row r="1272" spans="1:7" x14ac:dyDescent="0.15">
      <c r="A1272" s="19" t="s">
        <v>6767</v>
      </c>
      <c r="B1272" s="25" t="s">
        <v>7217</v>
      </c>
      <c r="C1272" s="22"/>
      <c r="D1272" s="26" t="str">
        <f>HYPERLINK("https://kokusho.nijl.ac.jp/biblio/100232367/122")</f>
        <v>https://kokusho.nijl.ac.jp/biblio/100232367/122</v>
      </c>
      <c r="E1272" s="22"/>
      <c r="F1272" s="22"/>
      <c r="G1272" s="22"/>
    </row>
    <row r="1273" spans="1:7" x14ac:dyDescent="0.15">
      <c r="A1273" s="19" t="s">
        <v>6767</v>
      </c>
      <c r="B1273" s="25" t="s">
        <v>5759</v>
      </c>
      <c r="C1273" s="22"/>
      <c r="D1273" s="26" t="str">
        <f t="shared" ref="D1273:D1281" si="83">HYPERLINK("https://kokusho.nijl.ac.jp/biblio/100232367/123")</f>
        <v>https://kokusho.nijl.ac.jp/biblio/100232367/123</v>
      </c>
      <c r="E1273" s="22"/>
      <c r="F1273" s="22"/>
      <c r="G1273" s="22"/>
    </row>
    <row r="1274" spans="1:7" x14ac:dyDescent="0.15">
      <c r="A1274" s="19" t="s">
        <v>6767</v>
      </c>
      <c r="B1274" s="25" t="s">
        <v>7218</v>
      </c>
      <c r="C1274" s="22"/>
      <c r="D1274" s="26" t="str">
        <f t="shared" si="83"/>
        <v>https://kokusho.nijl.ac.jp/biblio/100232367/123</v>
      </c>
      <c r="E1274" s="22"/>
      <c r="F1274" s="22"/>
      <c r="G1274" s="22"/>
    </row>
    <row r="1275" spans="1:7" x14ac:dyDescent="0.15">
      <c r="A1275" s="19" t="s">
        <v>6767</v>
      </c>
      <c r="B1275" s="25" t="s">
        <v>7219</v>
      </c>
      <c r="C1275" s="22"/>
      <c r="D1275" s="26" t="str">
        <f t="shared" si="83"/>
        <v>https://kokusho.nijl.ac.jp/biblio/100232367/123</v>
      </c>
      <c r="E1275" s="22"/>
      <c r="F1275" s="22"/>
      <c r="G1275" s="22"/>
    </row>
    <row r="1276" spans="1:7" x14ac:dyDescent="0.15">
      <c r="A1276" s="19" t="s">
        <v>6767</v>
      </c>
      <c r="B1276" s="25" t="s">
        <v>7220</v>
      </c>
      <c r="C1276" s="22"/>
      <c r="D1276" s="26" t="str">
        <f t="shared" si="83"/>
        <v>https://kokusho.nijl.ac.jp/biblio/100232367/123</v>
      </c>
      <c r="E1276" s="22"/>
      <c r="F1276" s="22"/>
      <c r="G1276" s="22"/>
    </row>
    <row r="1277" spans="1:7" x14ac:dyDescent="0.15">
      <c r="A1277" s="19" t="s">
        <v>6767</v>
      </c>
      <c r="B1277" s="25" t="s">
        <v>7221</v>
      </c>
      <c r="C1277" s="22"/>
      <c r="D1277" s="26" t="str">
        <f t="shared" si="83"/>
        <v>https://kokusho.nijl.ac.jp/biblio/100232367/123</v>
      </c>
      <c r="E1277" s="22"/>
      <c r="F1277" s="22"/>
      <c r="G1277" s="22"/>
    </row>
    <row r="1278" spans="1:7" x14ac:dyDescent="0.15">
      <c r="A1278" s="19" t="s">
        <v>6767</v>
      </c>
      <c r="B1278" s="25" t="s">
        <v>7222</v>
      </c>
      <c r="C1278" s="22"/>
      <c r="D1278" s="26" t="str">
        <f t="shared" si="83"/>
        <v>https://kokusho.nijl.ac.jp/biblio/100232367/123</v>
      </c>
      <c r="E1278" s="22"/>
      <c r="F1278" s="22"/>
      <c r="G1278" s="22"/>
    </row>
    <row r="1279" spans="1:7" x14ac:dyDescent="0.15">
      <c r="A1279" s="19" t="s">
        <v>6767</v>
      </c>
      <c r="B1279" s="25" t="s">
        <v>7223</v>
      </c>
      <c r="C1279" s="22"/>
      <c r="D1279" s="26" t="str">
        <f t="shared" si="83"/>
        <v>https://kokusho.nijl.ac.jp/biblio/100232367/123</v>
      </c>
      <c r="E1279" s="22"/>
      <c r="F1279" s="22"/>
      <c r="G1279" s="22"/>
    </row>
    <row r="1280" spans="1:7" x14ac:dyDescent="0.15">
      <c r="A1280" s="19" t="s">
        <v>6767</v>
      </c>
      <c r="B1280" s="25" t="s">
        <v>7224</v>
      </c>
      <c r="C1280" s="22"/>
      <c r="D1280" s="26" t="str">
        <f t="shared" si="83"/>
        <v>https://kokusho.nijl.ac.jp/biblio/100232367/123</v>
      </c>
      <c r="E1280" s="22"/>
      <c r="F1280" s="22"/>
      <c r="G1280" s="22"/>
    </row>
    <row r="1281" spans="1:7" x14ac:dyDescent="0.15">
      <c r="A1281" s="19" t="s">
        <v>6767</v>
      </c>
      <c r="B1281" s="25" t="s">
        <v>7225</v>
      </c>
      <c r="C1281" s="22"/>
      <c r="D1281" s="26" t="str">
        <f t="shared" si="83"/>
        <v>https://kokusho.nijl.ac.jp/biblio/100232367/123</v>
      </c>
      <c r="E1281" s="22"/>
      <c r="F1281" s="22"/>
      <c r="G1281" s="22"/>
    </row>
    <row r="1282" spans="1:7" x14ac:dyDescent="0.15">
      <c r="A1282" s="19" t="s">
        <v>6767</v>
      </c>
      <c r="B1282" s="25" t="s">
        <v>7226</v>
      </c>
      <c r="C1282" s="22"/>
      <c r="D1282" s="26" t="str">
        <f>HYPERLINK("https://kokusho.nijl.ac.jp/biblio/100232367/124")</f>
        <v>https://kokusho.nijl.ac.jp/biblio/100232367/124</v>
      </c>
      <c r="E1282" s="22"/>
      <c r="F1282" s="22"/>
      <c r="G1282" s="22"/>
    </row>
    <row r="1283" spans="1:7" x14ac:dyDescent="0.15">
      <c r="A1283" s="19" t="s">
        <v>6767</v>
      </c>
      <c r="B1283" s="25" t="s">
        <v>7227</v>
      </c>
      <c r="C1283" s="22"/>
      <c r="D1283" s="26" t="str">
        <f>HYPERLINK("https://kokusho.nijl.ac.jp/biblio/100232367/124")</f>
        <v>https://kokusho.nijl.ac.jp/biblio/100232367/124</v>
      </c>
      <c r="E1283" s="22"/>
      <c r="F1283" s="22"/>
      <c r="G1283" s="22"/>
    </row>
    <row r="1284" spans="1:7" x14ac:dyDescent="0.15">
      <c r="A1284" s="19" t="s">
        <v>6767</v>
      </c>
      <c r="B1284" s="25" t="s">
        <v>5712</v>
      </c>
      <c r="C1284" s="22"/>
      <c r="D1284" s="26" t="str">
        <f>HYPERLINK("https://kokusho.nijl.ac.jp/biblio/100232367/124")</f>
        <v>https://kokusho.nijl.ac.jp/biblio/100232367/124</v>
      </c>
      <c r="E1284" s="22"/>
      <c r="F1284" s="22"/>
      <c r="G1284" s="22"/>
    </row>
    <row r="1285" spans="1:7" x14ac:dyDescent="0.15">
      <c r="A1285" s="19" t="s">
        <v>6767</v>
      </c>
      <c r="B1285" s="25" t="s">
        <v>7228</v>
      </c>
      <c r="C1285" s="22"/>
      <c r="D1285" s="26" t="str">
        <f>HYPERLINK("https://kokusho.nijl.ac.jp/biblio/100232367/124")</f>
        <v>https://kokusho.nijl.ac.jp/biblio/100232367/124</v>
      </c>
      <c r="E1285" s="22"/>
      <c r="F1285" s="22"/>
      <c r="G1285" s="22"/>
    </row>
    <row r="1286" spans="1:7" x14ac:dyDescent="0.15">
      <c r="A1286" s="19" t="s">
        <v>6767</v>
      </c>
      <c r="B1286" s="25" t="s">
        <v>7229</v>
      </c>
      <c r="C1286" s="22"/>
      <c r="D1286" s="26" t="str">
        <f>HYPERLINK("https://kokusho.nijl.ac.jp/biblio/100232367/124")</f>
        <v>https://kokusho.nijl.ac.jp/biblio/100232367/124</v>
      </c>
      <c r="E1286" s="22"/>
      <c r="F1286" s="22"/>
      <c r="G1286" s="22"/>
    </row>
    <row r="1287" spans="1:7" x14ac:dyDescent="0.15">
      <c r="A1287" s="19" t="s">
        <v>6767</v>
      </c>
      <c r="B1287" s="25" t="s">
        <v>5909</v>
      </c>
      <c r="C1287" s="22"/>
      <c r="D1287" s="26" t="str">
        <f>HYPERLINK("https://kokusho.nijl.ac.jp/biblio/100232367/125")</f>
        <v>https://kokusho.nijl.ac.jp/biblio/100232367/125</v>
      </c>
      <c r="E1287" s="22"/>
      <c r="F1287" s="22"/>
      <c r="G1287" s="22"/>
    </row>
    <row r="1288" spans="1:7" x14ac:dyDescent="0.15">
      <c r="A1288" s="19" t="s">
        <v>6767</v>
      </c>
      <c r="B1288" s="25" t="s">
        <v>7230</v>
      </c>
      <c r="C1288" s="22"/>
      <c r="D1288" s="26" t="str">
        <f>HYPERLINK("https://kokusho.nijl.ac.jp/biblio/100232367/125")</f>
        <v>https://kokusho.nijl.ac.jp/biblio/100232367/125</v>
      </c>
      <c r="E1288" s="22"/>
      <c r="F1288" s="22"/>
      <c r="G1288" s="22"/>
    </row>
    <row r="1289" spans="1:7" x14ac:dyDescent="0.15">
      <c r="A1289" s="19" t="s">
        <v>6767</v>
      </c>
      <c r="B1289" s="25" t="s">
        <v>7231</v>
      </c>
      <c r="C1289" s="22"/>
      <c r="D1289" s="26" t="str">
        <f>HYPERLINK("https://kokusho.nijl.ac.jp/biblio/100232367/125")</f>
        <v>https://kokusho.nijl.ac.jp/biblio/100232367/125</v>
      </c>
      <c r="E1289" s="22"/>
      <c r="F1289" s="22"/>
      <c r="G1289" s="22"/>
    </row>
    <row r="1290" spans="1:7" x14ac:dyDescent="0.15">
      <c r="A1290" s="19" t="s">
        <v>6767</v>
      </c>
      <c r="B1290" s="25" t="s">
        <v>5751</v>
      </c>
      <c r="C1290" s="22"/>
      <c r="D1290" s="26" t="str">
        <f>HYPERLINK("https://kokusho.nijl.ac.jp/biblio/100232367/126")</f>
        <v>https://kokusho.nijl.ac.jp/biblio/100232367/126</v>
      </c>
      <c r="E1290" s="22"/>
      <c r="F1290" s="22"/>
      <c r="G1290" s="22"/>
    </row>
    <row r="1291" spans="1:7" x14ac:dyDescent="0.15">
      <c r="A1291" s="19" t="s">
        <v>6767</v>
      </c>
      <c r="B1291" s="25" t="s">
        <v>5740</v>
      </c>
      <c r="C1291" s="22"/>
      <c r="D1291" s="26" t="str">
        <f>HYPERLINK("https://kokusho.nijl.ac.jp/biblio/100232367/126")</f>
        <v>https://kokusho.nijl.ac.jp/biblio/100232367/126</v>
      </c>
      <c r="E1291" s="22"/>
      <c r="F1291" s="22"/>
      <c r="G1291" s="22"/>
    </row>
    <row r="1292" spans="1:7" x14ac:dyDescent="0.15">
      <c r="A1292" s="19" t="s">
        <v>6767</v>
      </c>
      <c r="B1292" s="25" t="s">
        <v>7232</v>
      </c>
      <c r="C1292" s="22"/>
      <c r="D1292" s="26" t="str">
        <f>HYPERLINK("https://kokusho.nijl.ac.jp/biblio/100232367/126")</f>
        <v>https://kokusho.nijl.ac.jp/biblio/100232367/126</v>
      </c>
      <c r="E1292" s="22"/>
      <c r="F1292" s="22"/>
      <c r="G1292" s="22"/>
    </row>
    <row r="1293" spans="1:7" x14ac:dyDescent="0.15">
      <c r="A1293" s="19" t="s">
        <v>6767</v>
      </c>
      <c r="B1293" s="25" t="s">
        <v>7233</v>
      </c>
      <c r="C1293" s="22"/>
      <c r="D1293" s="26" t="str">
        <f t="shared" ref="D1293:D1298" si="84">HYPERLINK("https://kokusho.nijl.ac.jp/biblio/100232367/127")</f>
        <v>https://kokusho.nijl.ac.jp/biblio/100232367/127</v>
      </c>
      <c r="E1293" s="22"/>
      <c r="F1293" s="22"/>
      <c r="G1293" s="22"/>
    </row>
    <row r="1294" spans="1:7" x14ac:dyDescent="0.15">
      <c r="A1294" s="19" t="s">
        <v>6767</v>
      </c>
      <c r="B1294" s="25" t="s">
        <v>7234</v>
      </c>
      <c r="C1294" s="22"/>
      <c r="D1294" s="26" t="str">
        <f t="shared" si="84"/>
        <v>https://kokusho.nijl.ac.jp/biblio/100232367/127</v>
      </c>
      <c r="E1294" s="22"/>
      <c r="F1294" s="22"/>
      <c r="G1294" s="22"/>
    </row>
    <row r="1295" spans="1:7" x14ac:dyDescent="0.15">
      <c r="A1295" s="19" t="s">
        <v>6767</v>
      </c>
      <c r="B1295" s="25" t="s">
        <v>7235</v>
      </c>
      <c r="C1295" s="22"/>
      <c r="D1295" s="26" t="str">
        <f t="shared" si="84"/>
        <v>https://kokusho.nijl.ac.jp/biblio/100232367/127</v>
      </c>
      <c r="E1295" s="22"/>
      <c r="F1295" s="22"/>
      <c r="G1295" s="22"/>
    </row>
    <row r="1296" spans="1:7" x14ac:dyDescent="0.15">
      <c r="A1296" s="19" t="s">
        <v>6767</v>
      </c>
      <c r="B1296" s="25" t="s">
        <v>7236</v>
      </c>
      <c r="C1296" s="22"/>
      <c r="D1296" s="26" t="str">
        <f t="shared" si="84"/>
        <v>https://kokusho.nijl.ac.jp/biblio/100232367/127</v>
      </c>
      <c r="E1296" s="22"/>
      <c r="F1296" s="22"/>
      <c r="G1296" s="22"/>
    </row>
    <row r="1297" spans="1:7" x14ac:dyDescent="0.15">
      <c r="A1297" s="19" t="s">
        <v>6767</v>
      </c>
      <c r="B1297" s="25" t="s">
        <v>7237</v>
      </c>
      <c r="C1297" s="22"/>
      <c r="D1297" s="26" t="str">
        <f t="shared" si="84"/>
        <v>https://kokusho.nijl.ac.jp/biblio/100232367/127</v>
      </c>
      <c r="E1297" s="22"/>
      <c r="F1297" s="22"/>
      <c r="G1297" s="22"/>
    </row>
    <row r="1298" spans="1:7" x14ac:dyDescent="0.15">
      <c r="A1298" s="19" t="s">
        <v>6767</v>
      </c>
      <c r="B1298" s="25" t="s">
        <v>7238</v>
      </c>
      <c r="C1298" s="22"/>
      <c r="D1298" s="26" t="str">
        <f t="shared" si="84"/>
        <v>https://kokusho.nijl.ac.jp/biblio/100232367/127</v>
      </c>
      <c r="E1298" s="22"/>
      <c r="F1298" s="22"/>
      <c r="G1298" s="22"/>
    </row>
    <row r="1299" spans="1:7" x14ac:dyDescent="0.15">
      <c r="A1299" s="19" t="s">
        <v>6767</v>
      </c>
      <c r="B1299" s="25" t="s">
        <v>7239</v>
      </c>
      <c r="C1299" s="22"/>
      <c r="D1299" s="26" t="str">
        <f>HYPERLINK("https://kokusho.nijl.ac.jp/biblio/100232367/128")</f>
        <v>https://kokusho.nijl.ac.jp/biblio/100232367/128</v>
      </c>
      <c r="E1299" s="22"/>
      <c r="F1299" s="22"/>
      <c r="G1299" s="22"/>
    </row>
    <row r="1300" spans="1:7" x14ac:dyDescent="0.15">
      <c r="A1300" s="19" t="s">
        <v>6767</v>
      </c>
      <c r="B1300" s="25" t="s">
        <v>7240</v>
      </c>
      <c r="C1300" s="22"/>
      <c r="D1300" s="26" t="str">
        <f>HYPERLINK("https://kokusho.nijl.ac.jp/biblio/100232367/128")</f>
        <v>https://kokusho.nijl.ac.jp/biblio/100232367/128</v>
      </c>
      <c r="E1300" s="22"/>
      <c r="F1300" s="22"/>
      <c r="G1300" s="22"/>
    </row>
    <row r="1301" spans="1:7" x14ac:dyDescent="0.15">
      <c r="A1301" s="19" t="s">
        <v>6767</v>
      </c>
      <c r="B1301" s="25" t="s">
        <v>7241</v>
      </c>
      <c r="C1301" s="22"/>
      <c r="D1301" s="26" t="str">
        <f>HYPERLINK("https://kokusho.nijl.ac.jp/biblio/100232367/128")</f>
        <v>https://kokusho.nijl.ac.jp/biblio/100232367/128</v>
      </c>
      <c r="E1301" s="22"/>
      <c r="F1301" s="22"/>
      <c r="G1301" s="22"/>
    </row>
    <row r="1302" spans="1:7" x14ac:dyDescent="0.15">
      <c r="A1302" s="19" t="s">
        <v>6767</v>
      </c>
      <c r="B1302" s="25" t="s">
        <v>7242</v>
      </c>
      <c r="C1302" s="22"/>
      <c r="D1302" s="26" t="str">
        <f>HYPERLINK("https://kokusho.nijl.ac.jp/biblio/100232367/128")</f>
        <v>https://kokusho.nijl.ac.jp/biblio/100232367/128</v>
      </c>
      <c r="E1302" s="22"/>
      <c r="F1302" s="22"/>
      <c r="G1302" s="22"/>
    </row>
    <row r="1303" spans="1:7" x14ac:dyDescent="0.15">
      <c r="A1303" s="19" t="s">
        <v>6767</v>
      </c>
      <c r="B1303" s="25" t="s">
        <v>7243</v>
      </c>
      <c r="C1303" s="22"/>
      <c r="D1303" s="26" t="str">
        <f>HYPERLINK("https://kokusho.nijl.ac.jp/biblio/100232367/128")</f>
        <v>https://kokusho.nijl.ac.jp/biblio/100232367/128</v>
      </c>
      <c r="E1303" s="22"/>
      <c r="F1303" s="22"/>
      <c r="G1303" s="22"/>
    </row>
    <row r="1304" spans="1:7" x14ac:dyDescent="0.15">
      <c r="A1304" s="19" t="s">
        <v>6767</v>
      </c>
      <c r="B1304" s="25" t="s">
        <v>7244</v>
      </c>
      <c r="C1304" s="22"/>
      <c r="D1304" s="26" t="str">
        <f t="shared" ref="D1304:D1310" si="85">HYPERLINK("https://kokusho.nijl.ac.jp/biblio/100232367/129")</f>
        <v>https://kokusho.nijl.ac.jp/biblio/100232367/129</v>
      </c>
      <c r="E1304" s="22"/>
      <c r="F1304" s="22"/>
      <c r="G1304" s="22"/>
    </row>
    <row r="1305" spans="1:7" x14ac:dyDescent="0.15">
      <c r="A1305" s="19" t="s">
        <v>6767</v>
      </c>
      <c r="B1305" s="25" t="s">
        <v>7245</v>
      </c>
      <c r="C1305" s="22"/>
      <c r="D1305" s="26" t="str">
        <f t="shared" si="85"/>
        <v>https://kokusho.nijl.ac.jp/biblio/100232367/129</v>
      </c>
      <c r="E1305" s="22"/>
      <c r="F1305" s="22"/>
      <c r="G1305" s="22"/>
    </row>
    <row r="1306" spans="1:7" x14ac:dyDescent="0.15">
      <c r="A1306" s="19" t="s">
        <v>6767</v>
      </c>
      <c r="B1306" s="25" t="s">
        <v>7246</v>
      </c>
      <c r="C1306" s="22"/>
      <c r="D1306" s="26" t="str">
        <f t="shared" si="85"/>
        <v>https://kokusho.nijl.ac.jp/biblio/100232367/129</v>
      </c>
      <c r="E1306" s="22"/>
      <c r="F1306" s="22"/>
      <c r="G1306" s="22"/>
    </row>
    <row r="1307" spans="1:7" x14ac:dyDescent="0.15">
      <c r="A1307" s="19" t="s">
        <v>6767</v>
      </c>
      <c r="B1307" s="25" t="s">
        <v>7247</v>
      </c>
      <c r="C1307" s="22"/>
      <c r="D1307" s="26" t="str">
        <f t="shared" si="85"/>
        <v>https://kokusho.nijl.ac.jp/biblio/100232367/129</v>
      </c>
      <c r="E1307" s="22"/>
      <c r="F1307" s="22"/>
      <c r="G1307" s="22"/>
    </row>
    <row r="1308" spans="1:7" x14ac:dyDescent="0.15">
      <c r="A1308" s="19" t="s">
        <v>6767</v>
      </c>
      <c r="B1308" s="25" t="s">
        <v>7248</v>
      </c>
      <c r="C1308" s="22"/>
      <c r="D1308" s="26" t="str">
        <f t="shared" si="85"/>
        <v>https://kokusho.nijl.ac.jp/biblio/100232367/129</v>
      </c>
      <c r="E1308" s="22"/>
      <c r="F1308" s="22"/>
      <c r="G1308" s="22"/>
    </row>
    <row r="1309" spans="1:7" x14ac:dyDescent="0.15">
      <c r="A1309" s="19" t="s">
        <v>6767</v>
      </c>
      <c r="B1309" s="25" t="s">
        <v>7249</v>
      </c>
      <c r="C1309" s="22"/>
      <c r="D1309" s="26" t="str">
        <f t="shared" si="85"/>
        <v>https://kokusho.nijl.ac.jp/biblio/100232367/129</v>
      </c>
      <c r="E1309" s="22"/>
      <c r="F1309" s="22"/>
      <c r="G1309" s="22"/>
    </row>
    <row r="1310" spans="1:7" x14ac:dyDescent="0.15">
      <c r="A1310" s="19" t="s">
        <v>6767</v>
      </c>
      <c r="B1310" s="25" t="s">
        <v>7250</v>
      </c>
      <c r="C1310" s="22"/>
      <c r="D1310" s="26" t="str">
        <f t="shared" si="85"/>
        <v>https://kokusho.nijl.ac.jp/biblio/100232367/129</v>
      </c>
      <c r="E1310" s="22"/>
      <c r="F1310" s="22"/>
      <c r="G1310" s="22"/>
    </row>
    <row r="1311" spans="1:7" x14ac:dyDescent="0.15">
      <c r="A1311" s="19" t="s">
        <v>6767</v>
      </c>
      <c r="B1311" s="25" t="s">
        <v>7251</v>
      </c>
      <c r="C1311" s="22"/>
      <c r="D1311" s="26" t="str">
        <f>HYPERLINK("https://kokusho.nijl.ac.jp/biblio/100232367/130")</f>
        <v>https://kokusho.nijl.ac.jp/biblio/100232367/130</v>
      </c>
      <c r="E1311" s="22"/>
      <c r="F1311" s="22"/>
      <c r="G1311" s="22"/>
    </row>
    <row r="1312" spans="1:7" x14ac:dyDescent="0.15">
      <c r="A1312" s="19" t="s">
        <v>6767</v>
      </c>
      <c r="B1312" s="25" t="s">
        <v>7252</v>
      </c>
      <c r="C1312" s="22"/>
      <c r="D1312" s="26" t="str">
        <f>HYPERLINK("https://kokusho.nijl.ac.jp/biblio/100232367/130")</f>
        <v>https://kokusho.nijl.ac.jp/biblio/100232367/130</v>
      </c>
      <c r="E1312" s="22"/>
      <c r="F1312" s="22"/>
      <c r="G1312" s="22"/>
    </row>
    <row r="1313" spans="1:7" x14ac:dyDescent="0.15">
      <c r="A1313" s="19" t="s">
        <v>6767</v>
      </c>
      <c r="B1313" s="25" t="s">
        <v>5666</v>
      </c>
      <c r="C1313" s="22"/>
      <c r="D1313" s="26" t="str">
        <f>HYPERLINK("https://kokusho.nijl.ac.jp/biblio/100232367/130")</f>
        <v>https://kokusho.nijl.ac.jp/biblio/100232367/130</v>
      </c>
      <c r="E1313" s="22"/>
      <c r="F1313" s="22"/>
      <c r="G1313" s="22"/>
    </row>
    <row r="1314" spans="1:7" x14ac:dyDescent="0.15">
      <c r="A1314" s="19" t="s">
        <v>6767</v>
      </c>
      <c r="B1314" s="25" t="s">
        <v>5720</v>
      </c>
      <c r="C1314" s="22"/>
      <c r="D1314" s="26" t="str">
        <f>HYPERLINK("https://kokusho.nijl.ac.jp/biblio/100232367/130")</f>
        <v>https://kokusho.nijl.ac.jp/biblio/100232367/130</v>
      </c>
      <c r="E1314" s="22"/>
      <c r="F1314" s="22"/>
      <c r="G1314" s="22"/>
    </row>
    <row r="1315" spans="1:7" x14ac:dyDescent="0.15">
      <c r="A1315" s="19" t="s">
        <v>6767</v>
      </c>
      <c r="B1315" s="25" t="s">
        <v>5724</v>
      </c>
      <c r="C1315" s="22"/>
      <c r="D1315" s="26" t="str">
        <f>HYPERLINK("https://kokusho.nijl.ac.jp/biblio/100232367/131")</f>
        <v>https://kokusho.nijl.ac.jp/biblio/100232367/131</v>
      </c>
      <c r="E1315" s="22"/>
      <c r="F1315" s="22"/>
      <c r="G1315" s="22"/>
    </row>
    <row r="1316" spans="1:7" x14ac:dyDescent="0.15">
      <c r="A1316" s="19" t="s">
        <v>6767</v>
      </c>
      <c r="B1316" s="25" t="s">
        <v>7253</v>
      </c>
      <c r="C1316" s="22"/>
      <c r="D1316" s="26" t="str">
        <f>HYPERLINK("https://kokusho.nijl.ac.jp/biblio/100232367/131")</f>
        <v>https://kokusho.nijl.ac.jp/biblio/100232367/131</v>
      </c>
      <c r="E1316" s="22"/>
      <c r="F1316" s="22"/>
      <c r="G1316" s="22"/>
    </row>
    <row r="1317" spans="1:7" x14ac:dyDescent="0.15">
      <c r="A1317" s="19" t="s">
        <v>6767</v>
      </c>
      <c r="B1317" s="25" t="s">
        <v>7254</v>
      </c>
      <c r="C1317" s="22"/>
      <c r="D1317" s="26" t="str">
        <f>HYPERLINK("https://kokusho.nijl.ac.jp/biblio/100232367/131")</f>
        <v>https://kokusho.nijl.ac.jp/biblio/100232367/131</v>
      </c>
      <c r="E1317" s="22"/>
      <c r="F1317" s="22"/>
      <c r="G1317" s="22"/>
    </row>
    <row r="1318" spans="1:7" x14ac:dyDescent="0.15">
      <c r="A1318" s="19" t="s">
        <v>6767</v>
      </c>
      <c r="B1318" s="25" t="s">
        <v>7255</v>
      </c>
      <c r="C1318" s="22"/>
      <c r="D1318" s="26" t="str">
        <f>HYPERLINK("https://kokusho.nijl.ac.jp/biblio/100232367/132")</f>
        <v>https://kokusho.nijl.ac.jp/biblio/100232367/132</v>
      </c>
      <c r="E1318" s="22"/>
      <c r="F1318" s="22"/>
      <c r="G1318" s="22"/>
    </row>
    <row r="1319" spans="1:7" x14ac:dyDescent="0.15">
      <c r="A1319" s="19" t="s">
        <v>6767</v>
      </c>
      <c r="B1319" s="25" t="s">
        <v>7256</v>
      </c>
      <c r="C1319" s="22"/>
      <c r="D1319" s="26" t="str">
        <f>HYPERLINK("https://kokusho.nijl.ac.jp/biblio/100232367/132")</f>
        <v>https://kokusho.nijl.ac.jp/biblio/100232367/132</v>
      </c>
      <c r="E1319" s="22"/>
      <c r="F1319" s="22"/>
      <c r="G1319" s="22"/>
    </row>
    <row r="1320" spans="1:7" x14ac:dyDescent="0.15">
      <c r="A1320" s="19" t="s">
        <v>6767</v>
      </c>
      <c r="B1320" s="25" t="s">
        <v>7257</v>
      </c>
      <c r="C1320" s="22"/>
      <c r="D1320" s="26" t="str">
        <f>HYPERLINK("https://kokusho.nijl.ac.jp/biblio/100232367/132")</f>
        <v>https://kokusho.nijl.ac.jp/biblio/100232367/132</v>
      </c>
      <c r="E1320" s="22"/>
      <c r="F1320" s="22"/>
      <c r="G1320" s="22"/>
    </row>
    <row r="1321" spans="1:7" x14ac:dyDescent="0.15">
      <c r="A1321" s="19" t="s">
        <v>6767</v>
      </c>
      <c r="B1321" s="25" t="s">
        <v>7258</v>
      </c>
      <c r="C1321" s="22"/>
      <c r="D1321" s="26" t="str">
        <f>HYPERLINK("https://kokusho.nijl.ac.jp/biblio/100232367/132")</f>
        <v>https://kokusho.nijl.ac.jp/biblio/100232367/132</v>
      </c>
      <c r="E1321" s="22"/>
      <c r="F1321" s="22"/>
      <c r="G1321" s="22"/>
    </row>
    <row r="1322" spans="1:7" x14ac:dyDescent="0.15">
      <c r="A1322" s="19" t="s">
        <v>6767</v>
      </c>
      <c r="B1322" s="25" t="s">
        <v>7259</v>
      </c>
      <c r="C1322" s="22"/>
      <c r="D1322" s="26" t="str">
        <f>HYPERLINK("https://kokusho.nijl.ac.jp/biblio/100232367/132")</f>
        <v>https://kokusho.nijl.ac.jp/biblio/100232367/132</v>
      </c>
      <c r="E1322" s="22"/>
      <c r="F1322" s="22"/>
      <c r="G1322" s="22"/>
    </row>
    <row r="1323" spans="1:7" x14ac:dyDescent="0.15">
      <c r="A1323" s="19" t="s">
        <v>6767</v>
      </c>
      <c r="B1323" s="25" t="s">
        <v>7260</v>
      </c>
      <c r="C1323" s="22"/>
      <c r="D1323" s="26" t="str">
        <f t="shared" ref="D1323:D1329" si="86">HYPERLINK("https://kokusho.nijl.ac.jp/biblio/100232367/133")</f>
        <v>https://kokusho.nijl.ac.jp/biblio/100232367/133</v>
      </c>
      <c r="E1323" s="22"/>
      <c r="F1323" s="22"/>
      <c r="G1323" s="22"/>
    </row>
    <row r="1324" spans="1:7" x14ac:dyDescent="0.15">
      <c r="A1324" s="19" t="s">
        <v>6767</v>
      </c>
      <c r="B1324" s="25" t="s">
        <v>7261</v>
      </c>
      <c r="C1324" s="22"/>
      <c r="D1324" s="26" t="str">
        <f t="shared" si="86"/>
        <v>https://kokusho.nijl.ac.jp/biblio/100232367/133</v>
      </c>
      <c r="E1324" s="22"/>
      <c r="F1324" s="22"/>
      <c r="G1324" s="22"/>
    </row>
    <row r="1325" spans="1:7" x14ac:dyDescent="0.15">
      <c r="A1325" s="19" t="s">
        <v>6767</v>
      </c>
      <c r="B1325" s="25" t="s">
        <v>7262</v>
      </c>
      <c r="C1325" s="22"/>
      <c r="D1325" s="26" t="str">
        <f t="shared" si="86"/>
        <v>https://kokusho.nijl.ac.jp/biblio/100232367/133</v>
      </c>
      <c r="E1325" s="22"/>
      <c r="F1325" s="22"/>
      <c r="G1325" s="22"/>
    </row>
    <row r="1326" spans="1:7" x14ac:dyDescent="0.15">
      <c r="A1326" s="19" t="s">
        <v>6767</v>
      </c>
      <c r="B1326" s="25" t="s">
        <v>7263</v>
      </c>
      <c r="C1326" s="22"/>
      <c r="D1326" s="26" t="str">
        <f t="shared" si="86"/>
        <v>https://kokusho.nijl.ac.jp/biblio/100232367/133</v>
      </c>
      <c r="E1326" s="22"/>
      <c r="F1326" s="22"/>
      <c r="G1326" s="22"/>
    </row>
    <row r="1327" spans="1:7" x14ac:dyDescent="0.15">
      <c r="A1327" s="19" t="s">
        <v>6767</v>
      </c>
      <c r="B1327" s="25" t="s">
        <v>7264</v>
      </c>
      <c r="C1327" s="22"/>
      <c r="D1327" s="26" t="str">
        <f t="shared" si="86"/>
        <v>https://kokusho.nijl.ac.jp/biblio/100232367/133</v>
      </c>
      <c r="E1327" s="22"/>
      <c r="F1327" s="22"/>
      <c r="G1327" s="22"/>
    </row>
    <row r="1328" spans="1:7" x14ac:dyDescent="0.15">
      <c r="A1328" s="19" t="s">
        <v>6767</v>
      </c>
      <c r="B1328" s="25" t="s">
        <v>7265</v>
      </c>
      <c r="C1328" s="22"/>
      <c r="D1328" s="26" t="str">
        <f t="shared" si="86"/>
        <v>https://kokusho.nijl.ac.jp/biblio/100232367/133</v>
      </c>
      <c r="E1328" s="22"/>
      <c r="F1328" s="22"/>
      <c r="G1328" s="22"/>
    </row>
    <row r="1329" spans="1:7" x14ac:dyDescent="0.15">
      <c r="A1329" s="19" t="s">
        <v>6767</v>
      </c>
      <c r="B1329" s="25" t="s">
        <v>7266</v>
      </c>
      <c r="C1329" s="22"/>
      <c r="D1329" s="26" t="str">
        <f t="shared" si="86"/>
        <v>https://kokusho.nijl.ac.jp/biblio/100232367/133</v>
      </c>
      <c r="E1329" s="22"/>
      <c r="F1329" s="22"/>
      <c r="G1329" s="22"/>
    </row>
    <row r="1330" spans="1:7" x14ac:dyDescent="0.15">
      <c r="A1330" s="19" t="s">
        <v>6767</v>
      </c>
      <c r="B1330" s="25" t="s">
        <v>7267</v>
      </c>
      <c r="C1330" s="22"/>
      <c r="D1330" s="26" t="str">
        <f t="shared" ref="D1330:D1336" si="87">HYPERLINK("https://kokusho.nijl.ac.jp/biblio/100232367/134")</f>
        <v>https://kokusho.nijl.ac.jp/biblio/100232367/134</v>
      </c>
      <c r="E1330" s="22"/>
      <c r="F1330" s="22"/>
      <c r="G1330" s="22"/>
    </row>
    <row r="1331" spans="1:7" x14ac:dyDescent="0.15">
      <c r="A1331" s="19" t="s">
        <v>6767</v>
      </c>
      <c r="B1331" s="25" t="s">
        <v>7268</v>
      </c>
      <c r="C1331" s="22"/>
      <c r="D1331" s="26" t="str">
        <f t="shared" si="87"/>
        <v>https://kokusho.nijl.ac.jp/biblio/100232367/134</v>
      </c>
      <c r="E1331" s="22"/>
      <c r="F1331" s="22"/>
      <c r="G1331" s="22"/>
    </row>
    <row r="1332" spans="1:7" x14ac:dyDescent="0.15">
      <c r="A1332" s="19" t="s">
        <v>6767</v>
      </c>
      <c r="B1332" s="25" t="s">
        <v>7269</v>
      </c>
      <c r="C1332" s="22"/>
      <c r="D1332" s="26" t="str">
        <f t="shared" si="87"/>
        <v>https://kokusho.nijl.ac.jp/biblio/100232367/134</v>
      </c>
      <c r="E1332" s="22"/>
      <c r="F1332" s="22"/>
      <c r="G1332" s="22"/>
    </row>
    <row r="1333" spans="1:7" x14ac:dyDescent="0.15">
      <c r="A1333" s="19" t="s">
        <v>6767</v>
      </c>
      <c r="B1333" s="25" t="s">
        <v>5774</v>
      </c>
      <c r="C1333" s="22"/>
      <c r="D1333" s="26" t="str">
        <f t="shared" si="87"/>
        <v>https://kokusho.nijl.ac.jp/biblio/100232367/134</v>
      </c>
      <c r="E1333" s="22"/>
      <c r="F1333" s="22"/>
      <c r="G1333" s="22"/>
    </row>
    <row r="1334" spans="1:7" x14ac:dyDescent="0.15">
      <c r="A1334" s="19" t="s">
        <v>6767</v>
      </c>
      <c r="B1334" s="25" t="s">
        <v>7270</v>
      </c>
      <c r="C1334" s="22"/>
      <c r="D1334" s="26" t="str">
        <f t="shared" si="87"/>
        <v>https://kokusho.nijl.ac.jp/biblio/100232367/134</v>
      </c>
      <c r="E1334" s="22"/>
      <c r="F1334" s="22"/>
      <c r="G1334" s="22"/>
    </row>
    <row r="1335" spans="1:7" x14ac:dyDescent="0.15">
      <c r="A1335" s="19" t="s">
        <v>6767</v>
      </c>
      <c r="B1335" s="25" t="s">
        <v>7271</v>
      </c>
      <c r="C1335" s="22"/>
      <c r="D1335" s="26" t="str">
        <f t="shared" si="87"/>
        <v>https://kokusho.nijl.ac.jp/biblio/100232367/134</v>
      </c>
      <c r="E1335" s="22"/>
      <c r="F1335" s="22"/>
      <c r="G1335" s="22"/>
    </row>
    <row r="1336" spans="1:7" x14ac:dyDescent="0.15">
      <c r="A1336" s="19" t="s">
        <v>6767</v>
      </c>
      <c r="B1336" s="25" t="s">
        <v>7272</v>
      </c>
      <c r="C1336" s="22"/>
      <c r="D1336" s="26" t="str">
        <f t="shared" si="87"/>
        <v>https://kokusho.nijl.ac.jp/biblio/100232367/134</v>
      </c>
      <c r="E1336" s="22"/>
      <c r="F1336" s="22"/>
      <c r="G1336" s="22"/>
    </row>
    <row r="1337" spans="1:7" x14ac:dyDescent="0.15">
      <c r="A1337" s="19" t="s">
        <v>6767</v>
      </c>
      <c r="B1337" s="25" t="s">
        <v>7273</v>
      </c>
      <c r="C1337" s="22"/>
      <c r="D1337" s="26" t="str">
        <f t="shared" ref="D1337:D1344" si="88">HYPERLINK("https://kokusho.nijl.ac.jp/biblio/100232367/135")</f>
        <v>https://kokusho.nijl.ac.jp/biblio/100232367/135</v>
      </c>
      <c r="E1337" s="22"/>
      <c r="F1337" s="22"/>
      <c r="G1337" s="22"/>
    </row>
    <row r="1338" spans="1:7" x14ac:dyDescent="0.15">
      <c r="A1338" s="19" t="s">
        <v>6767</v>
      </c>
      <c r="B1338" s="25" t="s">
        <v>7274</v>
      </c>
      <c r="C1338" s="22"/>
      <c r="D1338" s="26" t="str">
        <f t="shared" si="88"/>
        <v>https://kokusho.nijl.ac.jp/biblio/100232367/135</v>
      </c>
      <c r="E1338" s="22"/>
      <c r="F1338" s="22"/>
      <c r="G1338" s="22"/>
    </row>
    <row r="1339" spans="1:7" x14ac:dyDescent="0.15">
      <c r="A1339" s="19" t="s">
        <v>6767</v>
      </c>
      <c r="B1339" s="25" t="s">
        <v>7275</v>
      </c>
      <c r="C1339" s="22"/>
      <c r="D1339" s="26" t="str">
        <f t="shared" si="88"/>
        <v>https://kokusho.nijl.ac.jp/biblio/100232367/135</v>
      </c>
      <c r="E1339" s="22"/>
      <c r="F1339" s="22"/>
      <c r="G1339" s="22"/>
    </row>
    <row r="1340" spans="1:7" x14ac:dyDescent="0.15">
      <c r="A1340" s="19" t="s">
        <v>6767</v>
      </c>
      <c r="B1340" s="25" t="s">
        <v>7276</v>
      </c>
      <c r="C1340" s="22"/>
      <c r="D1340" s="26" t="str">
        <f t="shared" si="88"/>
        <v>https://kokusho.nijl.ac.jp/biblio/100232367/135</v>
      </c>
      <c r="E1340" s="22"/>
      <c r="F1340" s="22"/>
      <c r="G1340" s="22"/>
    </row>
    <row r="1341" spans="1:7" x14ac:dyDescent="0.15">
      <c r="A1341" s="19" t="s">
        <v>6767</v>
      </c>
      <c r="B1341" s="25" t="s">
        <v>7277</v>
      </c>
      <c r="C1341" s="22"/>
      <c r="D1341" s="26" t="str">
        <f t="shared" si="88"/>
        <v>https://kokusho.nijl.ac.jp/biblio/100232367/135</v>
      </c>
      <c r="E1341" s="22"/>
      <c r="F1341" s="22"/>
      <c r="G1341" s="22"/>
    </row>
    <row r="1342" spans="1:7" x14ac:dyDescent="0.15">
      <c r="A1342" s="19" t="s">
        <v>6767</v>
      </c>
      <c r="B1342" s="25" t="s">
        <v>7278</v>
      </c>
      <c r="C1342" s="22"/>
      <c r="D1342" s="26" t="str">
        <f t="shared" si="88"/>
        <v>https://kokusho.nijl.ac.jp/biblio/100232367/135</v>
      </c>
      <c r="E1342" s="22"/>
      <c r="F1342" s="22"/>
      <c r="G1342" s="22"/>
    </row>
    <row r="1343" spans="1:7" x14ac:dyDescent="0.15">
      <c r="A1343" s="19" t="s">
        <v>6767</v>
      </c>
      <c r="B1343" s="25" t="s">
        <v>5913</v>
      </c>
      <c r="C1343" s="22"/>
      <c r="D1343" s="26" t="str">
        <f t="shared" si="88"/>
        <v>https://kokusho.nijl.ac.jp/biblio/100232367/135</v>
      </c>
      <c r="E1343" s="22"/>
      <c r="F1343" s="22"/>
      <c r="G1343" s="22"/>
    </row>
    <row r="1344" spans="1:7" x14ac:dyDescent="0.15">
      <c r="A1344" s="19" t="s">
        <v>6767</v>
      </c>
      <c r="B1344" s="25" t="s">
        <v>7279</v>
      </c>
      <c r="C1344" s="22"/>
      <c r="D1344" s="26" t="str">
        <f t="shared" si="88"/>
        <v>https://kokusho.nijl.ac.jp/biblio/100232367/135</v>
      </c>
      <c r="E1344" s="22"/>
      <c r="F1344" s="22"/>
      <c r="G1344" s="22"/>
    </row>
    <row r="1345" spans="1:7" x14ac:dyDescent="0.15">
      <c r="A1345" s="19" t="s">
        <v>6767</v>
      </c>
      <c r="B1345" s="25" t="s">
        <v>7280</v>
      </c>
      <c r="C1345" s="22"/>
      <c r="D1345" s="26" t="str">
        <f>HYPERLINK("https://kokusho.nijl.ac.jp/biblio/100232367/136")</f>
        <v>https://kokusho.nijl.ac.jp/biblio/100232367/136</v>
      </c>
      <c r="E1345" s="22"/>
      <c r="F1345" s="22"/>
      <c r="G1345" s="22"/>
    </row>
    <row r="1346" spans="1:7" x14ac:dyDescent="0.15">
      <c r="A1346" s="19" t="s">
        <v>6767</v>
      </c>
      <c r="B1346" s="25" t="s">
        <v>7281</v>
      </c>
      <c r="C1346" s="22"/>
      <c r="D1346" s="26" t="str">
        <f>HYPERLINK("https://kokusho.nijl.ac.jp/biblio/100232367/136")</f>
        <v>https://kokusho.nijl.ac.jp/biblio/100232367/136</v>
      </c>
      <c r="E1346" s="22"/>
      <c r="F1346" s="22"/>
      <c r="G1346" s="22"/>
    </row>
    <row r="1347" spans="1:7" x14ac:dyDescent="0.15">
      <c r="A1347" s="19" t="s">
        <v>6767</v>
      </c>
      <c r="B1347" s="25" t="s">
        <v>7282</v>
      </c>
      <c r="C1347" s="22"/>
      <c r="D1347" s="26" t="str">
        <f>HYPERLINK("https://kokusho.nijl.ac.jp/biblio/100232367/136")</f>
        <v>https://kokusho.nijl.ac.jp/biblio/100232367/136</v>
      </c>
      <c r="E1347" s="22"/>
      <c r="F1347" s="22"/>
      <c r="G1347" s="22"/>
    </row>
    <row r="1348" spans="1:7" x14ac:dyDescent="0.15">
      <c r="A1348" s="19" t="s">
        <v>6767</v>
      </c>
      <c r="B1348" s="25" t="s">
        <v>7283</v>
      </c>
      <c r="C1348" s="22"/>
      <c r="D1348" s="26" t="str">
        <f>HYPERLINK("https://kokusho.nijl.ac.jp/biblio/100232367/136")</f>
        <v>https://kokusho.nijl.ac.jp/biblio/100232367/136</v>
      </c>
      <c r="E1348" s="22"/>
      <c r="F1348" s="22"/>
      <c r="G1348" s="22"/>
    </row>
    <row r="1349" spans="1:7" x14ac:dyDescent="0.15">
      <c r="A1349" s="19" t="s">
        <v>6767</v>
      </c>
      <c r="B1349" s="25" t="s">
        <v>7284</v>
      </c>
      <c r="C1349" s="22"/>
      <c r="D1349" s="26" t="str">
        <f>HYPERLINK("https://kokusho.nijl.ac.jp/biblio/100232367/136")</f>
        <v>https://kokusho.nijl.ac.jp/biblio/100232367/136</v>
      </c>
      <c r="E1349" s="22"/>
      <c r="F1349" s="22"/>
      <c r="G1349" s="22"/>
    </row>
    <row r="1350" spans="1:7" x14ac:dyDescent="0.15">
      <c r="A1350" s="19" t="s">
        <v>6767</v>
      </c>
      <c r="B1350" s="25" t="s">
        <v>7285</v>
      </c>
      <c r="C1350" s="22"/>
      <c r="D1350" s="26" t="str">
        <f t="shared" ref="D1350:D1358" si="89">HYPERLINK("https://kokusho.nijl.ac.jp/biblio/100232367/137")</f>
        <v>https://kokusho.nijl.ac.jp/biblio/100232367/137</v>
      </c>
      <c r="E1350" s="22"/>
      <c r="F1350" s="22"/>
      <c r="G1350" s="22"/>
    </row>
    <row r="1351" spans="1:7" x14ac:dyDescent="0.15">
      <c r="A1351" s="19" t="s">
        <v>6767</v>
      </c>
      <c r="B1351" s="25" t="s">
        <v>7286</v>
      </c>
      <c r="C1351" s="22"/>
      <c r="D1351" s="26" t="str">
        <f t="shared" si="89"/>
        <v>https://kokusho.nijl.ac.jp/biblio/100232367/137</v>
      </c>
      <c r="E1351" s="22"/>
      <c r="F1351" s="22"/>
      <c r="G1351" s="22"/>
    </row>
    <row r="1352" spans="1:7" x14ac:dyDescent="0.15">
      <c r="A1352" s="19" t="s">
        <v>6767</v>
      </c>
      <c r="B1352" s="25" t="s">
        <v>7287</v>
      </c>
      <c r="C1352" s="22"/>
      <c r="D1352" s="26" t="str">
        <f t="shared" si="89"/>
        <v>https://kokusho.nijl.ac.jp/biblio/100232367/137</v>
      </c>
      <c r="E1352" s="22"/>
      <c r="F1352" s="22"/>
      <c r="G1352" s="22"/>
    </row>
    <row r="1353" spans="1:7" x14ac:dyDescent="0.15">
      <c r="A1353" s="19" t="s">
        <v>6767</v>
      </c>
      <c r="B1353" s="25" t="s">
        <v>7288</v>
      </c>
      <c r="C1353" s="22"/>
      <c r="D1353" s="26" t="str">
        <f t="shared" si="89"/>
        <v>https://kokusho.nijl.ac.jp/biblio/100232367/137</v>
      </c>
      <c r="E1353" s="22"/>
      <c r="F1353" s="22"/>
      <c r="G1353" s="22"/>
    </row>
    <row r="1354" spans="1:7" x14ac:dyDescent="0.15">
      <c r="A1354" s="19" t="s">
        <v>6767</v>
      </c>
      <c r="B1354" s="25" t="s">
        <v>5766</v>
      </c>
      <c r="C1354" s="22"/>
      <c r="D1354" s="26" t="str">
        <f t="shared" si="89"/>
        <v>https://kokusho.nijl.ac.jp/biblio/100232367/137</v>
      </c>
      <c r="E1354" s="22"/>
      <c r="F1354" s="22"/>
      <c r="G1354" s="22"/>
    </row>
    <row r="1355" spans="1:7" x14ac:dyDescent="0.15">
      <c r="A1355" s="19" t="s">
        <v>6767</v>
      </c>
      <c r="B1355" s="25" t="s">
        <v>7289</v>
      </c>
      <c r="C1355" s="22"/>
      <c r="D1355" s="26" t="str">
        <f t="shared" si="89"/>
        <v>https://kokusho.nijl.ac.jp/biblio/100232367/137</v>
      </c>
      <c r="E1355" s="22"/>
      <c r="F1355" s="22"/>
      <c r="G1355" s="22"/>
    </row>
    <row r="1356" spans="1:7" x14ac:dyDescent="0.15">
      <c r="A1356" s="19" t="s">
        <v>6767</v>
      </c>
      <c r="B1356" s="25" t="s">
        <v>7290</v>
      </c>
      <c r="C1356" s="22"/>
      <c r="D1356" s="26" t="str">
        <f t="shared" si="89"/>
        <v>https://kokusho.nijl.ac.jp/biblio/100232367/137</v>
      </c>
      <c r="E1356" s="22"/>
      <c r="F1356" s="22"/>
      <c r="G1356" s="22"/>
    </row>
    <row r="1357" spans="1:7" x14ac:dyDescent="0.15">
      <c r="A1357" s="19" t="s">
        <v>6767</v>
      </c>
      <c r="B1357" s="25" t="s">
        <v>7291</v>
      </c>
      <c r="C1357" s="22"/>
      <c r="D1357" s="26" t="str">
        <f t="shared" si="89"/>
        <v>https://kokusho.nijl.ac.jp/biblio/100232367/137</v>
      </c>
      <c r="E1357" s="22"/>
      <c r="F1357" s="22"/>
      <c r="G1357" s="22"/>
    </row>
    <row r="1358" spans="1:7" x14ac:dyDescent="0.15">
      <c r="A1358" s="19" t="s">
        <v>6767</v>
      </c>
      <c r="B1358" s="25" t="s">
        <v>7292</v>
      </c>
      <c r="C1358" s="22"/>
      <c r="D1358" s="26" t="str">
        <f t="shared" si="89"/>
        <v>https://kokusho.nijl.ac.jp/biblio/100232367/137</v>
      </c>
      <c r="E1358" s="22"/>
      <c r="F1358" s="22"/>
      <c r="G1358" s="22"/>
    </row>
    <row r="1359" spans="1:7" x14ac:dyDescent="0.15">
      <c r="A1359" s="19" t="s">
        <v>6767</v>
      </c>
      <c r="B1359" s="25" t="s">
        <v>7293</v>
      </c>
      <c r="C1359" s="22"/>
      <c r="D1359" s="26" t="str">
        <f>HYPERLINK("https://kokusho.nijl.ac.jp/biblio/100232367/138")</f>
        <v>https://kokusho.nijl.ac.jp/biblio/100232367/138</v>
      </c>
      <c r="E1359" s="22"/>
      <c r="F1359" s="22"/>
      <c r="G1359" s="22"/>
    </row>
    <row r="1360" spans="1:7" x14ac:dyDescent="0.15">
      <c r="A1360" s="19" t="s">
        <v>6767</v>
      </c>
      <c r="B1360" s="25" t="s">
        <v>7294</v>
      </c>
      <c r="C1360" s="22"/>
      <c r="D1360" s="26" t="str">
        <f>HYPERLINK("https://kokusho.nijl.ac.jp/biblio/100232367/138")</f>
        <v>https://kokusho.nijl.ac.jp/biblio/100232367/138</v>
      </c>
      <c r="E1360" s="22"/>
      <c r="F1360" s="22"/>
      <c r="G1360" s="22"/>
    </row>
    <row r="1361" spans="1:7" x14ac:dyDescent="0.15">
      <c r="A1361" s="19" t="s">
        <v>6767</v>
      </c>
      <c r="B1361" s="25" t="s">
        <v>7295</v>
      </c>
      <c r="C1361" s="22"/>
      <c r="D1361" s="26" t="str">
        <f>HYPERLINK("https://kokusho.nijl.ac.jp/biblio/100232367/138")</f>
        <v>https://kokusho.nijl.ac.jp/biblio/100232367/138</v>
      </c>
      <c r="E1361" s="22"/>
      <c r="F1361" s="22"/>
      <c r="G1361" s="22"/>
    </row>
    <row r="1362" spans="1:7" x14ac:dyDescent="0.15">
      <c r="A1362" s="19" t="s">
        <v>6767</v>
      </c>
      <c r="B1362" s="25" t="s">
        <v>7296</v>
      </c>
      <c r="C1362" s="22"/>
      <c r="D1362" s="26" t="str">
        <f t="shared" ref="D1362:D1368" si="90">HYPERLINK("https://kokusho.nijl.ac.jp/biblio/100232367/139")</f>
        <v>https://kokusho.nijl.ac.jp/biblio/100232367/139</v>
      </c>
      <c r="E1362" s="22"/>
      <c r="F1362" s="22"/>
      <c r="G1362" s="22"/>
    </row>
    <row r="1363" spans="1:7" x14ac:dyDescent="0.15">
      <c r="A1363" s="19" t="s">
        <v>6767</v>
      </c>
      <c r="B1363" s="25" t="s">
        <v>7297</v>
      </c>
      <c r="C1363" s="22"/>
      <c r="D1363" s="26" t="str">
        <f t="shared" si="90"/>
        <v>https://kokusho.nijl.ac.jp/biblio/100232367/139</v>
      </c>
      <c r="E1363" s="22"/>
      <c r="F1363" s="22"/>
      <c r="G1363" s="22"/>
    </row>
    <row r="1364" spans="1:7" x14ac:dyDescent="0.15">
      <c r="A1364" s="19" t="s">
        <v>6767</v>
      </c>
      <c r="B1364" s="25" t="s">
        <v>7298</v>
      </c>
      <c r="C1364" s="22"/>
      <c r="D1364" s="26" t="str">
        <f t="shared" si="90"/>
        <v>https://kokusho.nijl.ac.jp/biblio/100232367/139</v>
      </c>
      <c r="E1364" s="22"/>
      <c r="F1364" s="22"/>
      <c r="G1364" s="22"/>
    </row>
    <row r="1365" spans="1:7" x14ac:dyDescent="0.15">
      <c r="A1365" s="19" t="s">
        <v>6767</v>
      </c>
      <c r="B1365" s="25" t="s">
        <v>7299</v>
      </c>
      <c r="C1365" s="22"/>
      <c r="D1365" s="26" t="str">
        <f t="shared" si="90"/>
        <v>https://kokusho.nijl.ac.jp/biblio/100232367/139</v>
      </c>
      <c r="E1365" s="22"/>
      <c r="F1365" s="22"/>
      <c r="G1365" s="22"/>
    </row>
    <row r="1366" spans="1:7" x14ac:dyDescent="0.15">
      <c r="A1366" s="19" t="s">
        <v>6767</v>
      </c>
      <c r="B1366" s="25" t="s">
        <v>7300</v>
      </c>
      <c r="C1366" s="22"/>
      <c r="D1366" s="26" t="str">
        <f t="shared" si="90"/>
        <v>https://kokusho.nijl.ac.jp/biblio/100232367/139</v>
      </c>
      <c r="E1366" s="22"/>
      <c r="F1366" s="22"/>
      <c r="G1366" s="22"/>
    </row>
    <row r="1367" spans="1:7" x14ac:dyDescent="0.15">
      <c r="A1367" s="19" t="s">
        <v>6767</v>
      </c>
      <c r="B1367" s="25" t="s">
        <v>7301</v>
      </c>
      <c r="C1367" s="22"/>
      <c r="D1367" s="26" t="str">
        <f t="shared" si="90"/>
        <v>https://kokusho.nijl.ac.jp/biblio/100232367/139</v>
      </c>
      <c r="E1367" s="22"/>
      <c r="F1367" s="22"/>
      <c r="G1367" s="22"/>
    </row>
    <row r="1368" spans="1:7" x14ac:dyDescent="0.15">
      <c r="A1368" s="19" t="s">
        <v>6767</v>
      </c>
      <c r="B1368" s="25" t="s">
        <v>7302</v>
      </c>
      <c r="C1368" s="22"/>
      <c r="D1368" s="26" t="str">
        <f t="shared" si="90"/>
        <v>https://kokusho.nijl.ac.jp/biblio/100232367/139</v>
      </c>
      <c r="E1368" s="22"/>
      <c r="F1368" s="22"/>
      <c r="G1368" s="22"/>
    </row>
    <row r="1369" spans="1:7" ht="40.5" x14ac:dyDescent="0.15">
      <c r="A1369" s="19" t="s">
        <v>6767</v>
      </c>
      <c r="B1369" s="25" t="s">
        <v>7303</v>
      </c>
      <c r="C1369" s="22"/>
      <c r="D1369" s="26" t="str">
        <f>HYPERLINK("https://kokusho.nijl.ac.jp/biblio/100232367/140")</f>
        <v>https://kokusho.nijl.ac.jp/biblio/100232367/140</v>
      </c>
      <c r="E1369" s="22"/>
      <c r="F1369" s="22"/>
      <c r="G1369" s="22"/>
    </row>
    <row r="1370" spans="1:7" ht="40.5" x14ac:dyDescent="0.15">
      <c r="A1370" s="19" t="s">
        <v>6767</v>
      </c>
      <c r="B1370" s="25" t="s">
        <v>7304</v>
      </c>
      <c r="C1370" s="22"/>
      <c r="D1370" s="26" t="str">
        <f>HYPERLINK("https://kokusho.nijl.ac.jp/biblio/100232367/140")</f>
        <v>https://kokusho.nijl.ac.jp/biblio/100232367/140</v>
      </c>
      <c r="E1370" s="22"/>
      <c r="F1370" s="22"/>
      <c r="G1370" s="22"/>
    </row>
    <row r="1371" spans="1:7" ht="40.5" x14ac:dyDescent="0.15">
      <c r="A1371" s="19" t="s">
        <v>6767</v>
      </c>
      <c r="B1371" s="25" t="s">
        <v>7305</v>
      </c>
      <c r="C1371" s="22"/>
      <c r="D1371" s="26" t="str">
        <f>HYPERLINK("https://kokusho.nijl.ac.jp/biblio/100232367/140")</f>
        <v>https://kokusho.nijl.ac.jp/biblio/100232367/140</v>
      </c>
      <c r="E1371" s="22"/>
      <c r="F1371" s="22"/>
      <c r="G1371" s="22"/>
    </row>
    <row r="1372" spans="1:7" x14ac:dyDescent="0.15">
      <c r="A1372" s="19" t="s">
        <v>6767</v>
      </c>
      <c r="B1372" s="25" t="s">
        <v>7306</v>
      </c>
      <c r="C1372" s="22"/>
      <c r="D1372" s="26" t="str">
        <f>HYPERLINK("https://kokusho.nijl.ac.jp/biblio/100232367/140")</f>
        <v>https://kokusho.nijl.ac.jp/biblio/100232367/140</v>
      </c>
      <c r="E1372" s="22"/>
      <c r="F1372" s="22"/>
      <c r="G1372" s="22"/>
    </row>
    <row r="1373" spans="1:7" ht="40.5" x14ac:dyDescent="0.15">
      <c r="A1373" s="19" t="s">
        <v>6767</v>
      </c>
      <c r="B1373" s="25" t="s">
        <v>7307</v>
      </c>
      <c r="C1373" s="22"/>
      <c r="D1373" s="26" t="str">
        <f>HYPERLINK("https://kokusho.nijl.ac.jp/biblio/100232367/140")</f>
        <v>https://kokusho.nijl.ac.jp/biblio/100232367/140</v>
      </c>
      <c r="E1373" s="22"/>
      <c r="F1373" s="22"/>
      <c r="G1373" s="22"/>
    </row>
    <row r="1374" spans="1:7" x14ac:dyDescent="0.15">
      <c r="A1374" s="19" t="s">
        <v>6767</v>
      </c>
      <c r="B1374" s="25" t="s">
        <v>7308</v>
      </c>
      <c r="C1374" s="22"/>
      <c r="D1374" s="26" t="str">
        <f>HYPERLINK("https://kokusho.nijl.ac.jp/biblio/100232367/144")</f>
        <v>https://kokusho.nijl.ac.jp/biblio/100232367/144</v>
      </c>
      <c r="E1374" s="22"/>
      <c r="F1374" s="22"/>
      <c r="G1374" s="22"/>
    </row>
    <row r="1375" spans="1:7" x14ac:dyDescent="0.15">
      <c r="A1375" s="19" t="s">
        <v>6767</v>
      </c>
      <c r="B1375" s="25" t="s">
        <v>6564</v>
      </c>
      <c r="C1375" s="22"/>
      <c r="D1375" s="26" t="str">
        <f>HYPERLINK("https://kokusho.nijl.ac.jp/biblio/100232367/144")</f>
        <v>https://kokusho.nijl.ac.jp/biblio/100232367/144</v>
      </c>
      <c r="E1375" s="22"/>
      <c r="F1375" s="22"/>
      <c r="G1375" s="22"/>
    </row>
    <row r="1376" spans="1:7" x14ac:dyDescent="0.15">
      <c r="A1376" s="19" t="s">
        <v>6767</v>
      </c>
      <c r="B1376" s="25" t="s">
        <v>6786</v>
      </c>
      <c r="C1376" s="22"/>
      <c r="D1376" s="26" t="str">
        <f>HYPERLINK("https://kokusho.nijl.ac.jp/biblio/100232367/144")</f>
        <v>https://kokusho.nijl.ac.jp/biblio/100232367/144</v>
      </c>
      <c r="E1376" s="22"/>
      <c r="F1376" s="22"/>
      <c r="G1376" s="22"/>
    </row>
    <row r="1377" spans="1:7" x14ac:dyDescent="0.15">
      <c r="A1377" s="19" t="s">
        <v>6767</v>
      </c>
      <c r="B1377" s="25" t="s">
        <v>7309</v>
      </c>
      <c r="C1377" s="22"/>
      <c r="D1377" s="26" t="str">
        <f t="shared" ref="D1377:D1382" si="91">HYPERLINK("https://kokusho.nijl.ac.jp/biblio/100232367/145")</f>
        <v>https://kokusho.nijl.ac.jp/biblio/100232367/145</v>
      </c>
      <c r="E1377" s="22"/>
      <c r="F1377" s="22"/>
      <c r="G1377" s="22"/>
    </row>
    <row r="1378" spans="1:7" x14ac:dyDescent="0.15">
      <c r="A1378" s="19" t="s">
        <v>6767</v>
      </c>
      <c r="B1378" s="25" t="s">
        <v>7310</v>
      </c>
      <c r="C1378" s="22"/>
      <c r="D1378" s="26" t="str">
        <f t="shared" si="91"/>
        <v>https://kokusho.nijl.ac.jp/biblio/100232367/145</v>
      </c>
      <c r="E1378" s="22"/>
      <c r="F1378" s="22"/>
      <c r="G1378" s="22"/>
    </row>
    <row r="1379" spans="1:7" x14ac:dyDescent="0.15">
      <c r="A1379" s="19" t="s">
        <v>6767</v>
      </c>
      <c r="B1379" s="25" t="s">
        <v>7311</v>
      </c>
      <c r="C1379" s="22"/>
      <c r="D1379" s="26" t="str">
        <f t="shared" si="91"/>
        <v>https://kokusho.nijl.ac.jp/biblio/100232367/145</v>
      </c>
      <c r="E1379" s="22"/>
      <c r="F1379" s="22"/>
      <c r="G1379" s="22"/>
    </row>
    <row r="1380" spans="1:7" x14ac:dyDescent="0.15">
      <c r="A1380" s="19" t="s">
        <v>6767</v>
      </c>
      <c r="B1380" s="25" t="s">
        <v>7312</v>
      </c>
      <c r="C1380" s="22"/>
      <c r="D1380" s="26" t="str">
        <f t="shared" si="91"/>
        <v>https://kokusho.nijl.ac.jp/biblio/100232367/145</v>
      </c>
      <c r="E1380" s="22"/>
      <c r="F1380" s="22"/>
      <c r="G1380" s="22"/>
    </row>
    <row r="1381" spans="1:7" x14ac:dyDescent="0.15">
      <c r="A1381" s="19" t="s">
        <v>6767</v>
      </c>
      <c r="B1381" s="25" t="s">
        <v>7313</v>
      </c>
      <c r="C1381" s="22"/>
      <c r="D1381" s="26" t="str">
        <f t="shared" si="91"/>
        <v>https://kokusho.nijl.ac.jp/biblio/100232367/145</v>
      </c>
      <c r="E1381" s="22"/>
      <c r="F1381" s="22"/>
      <c r="G1381" s="22"/>
    </row>
    <row r="1382" spans="1:7" x14ac:dyDescent="0.15">
      <c r="A1382" s="19" t="s">
        <v>6767</v>
      </c>
      <c r="B1382" s="25" t="s">
        <v>7314</v>
      </c>
      <c r="C1382" s="22"/>
      <c r="D1382" s="26" t="str">
        <f t="shared" si="91"/>
        <v>https://kokusho.nijl.ac.jp/biblio/100232367/145</v>
      </c>
      <c r="E1382" s="22"/>
      <c r="F1382" s="22"/>
      <c r="G1382" s="22"/>
    </row>
    <row r="1383" spans="1:7" x14ac:dyDescent="0.15">
      <c r="A1383" s="19" t="s">
        <v>6767</v>
      </c>
      <c r="B1383" s="25" t="s">
        <v>7315</v>
      </c>
      <c r="C1383" s="22"/>
      <c r="D1383" s="26" t="str">
        <f>HYPERLINK("https://kokusho.nijl.ac.jp/biblio/100232367/146")</f>
        <v>https://kokusho.nijl.ac.jp/biblio/100232367/146</v>
      </c>
      <c r="E1383" s="22"/>
      <c r="F1383" s="22"/>
      <c r="G1383" s="22"/>
    </row>
    <row r="1384" spans="1:7" ht="40.5" x14ac:dyDescent="0.15">
      <c r="A1384" s="19" t="s">
        <v>6767</v>
      </c>
      <c r="B1384" s="25" t="s">
        <v>7316</v>
      </c>
      <c r="C1384" s="22"/>
      <c r="D1384" s="26" t="str">
        <f>HYPERLINK("https://kokusho.nijl.ac.jp/biblio/100232367/146")</f>
        <v>https://kokusho.nijl.ac.jp/biblio/100232367/146</v>
      </c>
      <c r="E1384" s="22"/>
      <c r="F1384" s="22"/>
      <c r="G1384" s="22"/>
    </row>
    <row r="1385" spans="1:7" x14ac:dyDescent="0.15">
      <c r="A1385" s="19" t="s">
        <v>6767</v>
      </c>
      <c r="B1385" s="25" t="s">
        <v>7317</v>
      </c>
      <c r="C1385" s="22"/>
      <c r="D1385" s="26" t="str">
        <f>HYPERLINK("https://kokusho.nijl.ac.jp/biblio/100232367/146")</f>
        <v>https://kokusho.nijl.ac.jp/biblio/100232367/146</v>
      </c>
      <c r="E1385" s="22"/>
      <c r="F1385" s="22"/>
      <c r="G1385" s="22"/>
    </row>
    <row r="1386" spans="1:7" x14ac:dyDescent="0.15">
      <c r="A1386" s="19" t="s">
        <v>6767</v>
      </c>
      <c r="B1386" s="25" t="s">
        <v>7318</v>
      </c>
      <c r="C1386" s="22"/>
      <c r="D1386" s="26" t="str">
        <f>HYPERLINK("https://kokusho.nijl.ac.jp/biblio/100232367/146")</f>
        <v>https://kokusho.nijl.ac.jp/biblio/100232367/146</v>
      </c>
      <c r="E1386" s="22"/>
      <c r="F1386" s="22"/>
      <c r="G1386" s="22"/>
    </row>
    <row r="1387" spans="1:7" x14ac:dyDescent="0.15">
      <c r="A1387" s="19" t="s">
        <v>6767</v>
      </c>
      <c r="B1387" s="25" t="s">
        <v>7319</v>
      </c>
      <c r="C1387" s="22"/>
      <c r="D1387" s="26" t="str">
        <f>HYPERLINK("https://kokusho.nijl.ac.jp/biblio/100232367/146")</f>
        <v>https://kokusho.nijl.ac.jp/biblio/100232367/146</v>
      </c>
      <c r="E1387" s="22"/>
      <c r="F1387" s="22"/>
      <c r="G1387" s="22"/>
    </row>
    <row r="1388" spans="1:7" x14ac:dyDescent="0.15">
      <c r="A1388" s="19" t="s">
        <v>6767</v>
      </c>
      <c r="B1388" s="25" t="s">
        <v>7320</v>
      </c>
      <c r="C1388" s="22"/>
      <c r="D1388" s="26" t="str">
        <f>HYPERLINK("https://kokusho.nijl.ac.jp/biblio/100232367/147")</f>
        <v>https://kokusho.nijl.ac.jp/biblio/100232367/147</v>
      </c>
      <c r="E1388" s="22"/>
      <c r="F1388" s="22"/>
      <c r="G1388" s="22"/>
    </row>
    <row r="1389" spans="1:7" x14ac:dyDescent="0.15">
      <c r="A1389" s="19" t="s">
        <v>6767</v>
      </c>
      <c r="B1389" s="25" t="s">
        <v>7321</v>
      </c>
      <c r="C1389" s="22"/>
      <c r="D1389" s="26" t="str">
        <f>HYPERLINK("https://kokusho.nijl.ac.jp/biblio/100232367/147")</f>
        <v>https://kokusho.nijl.ac.jp/biblio/100232367/147</v>
      </c>
      <c r="E1389" s="22"/>
      <c r="F1389" s="22"/>
      <c r="G1389" s="22"/>
    </row>
    <row r="1390" spans="1:7" x14ac:dyDescent="0.15">
      <c r="A1390" s="19" t="s">
        <v>6767</v>
      </c>
      <c r="B1390" s="25" t="s">
        <v>5739</v>
      </c>
      <c r="C1390" s="22"/>
      <c r="D1390" s="26" t="str">
        <f>HYPERLINK("https://kokusho.nijl.ac.jp/biblio/100232367/147")</f>
        <v>https://kokusho.nijl.ac.jp/biblio/100232367/147</v>
      </c>
      <c r="E1390" s="22"/>
      <c r="F1390" s="22"/>
      <c r="G1390" s="22"/>
    </row>
    <row r="1391" spans="1:7" x14ac:dyDescent="0.15">
      <c r="A1391" s="19" t="s">
        <v>6767</v>
      </c>
      <c r="B1391" s="25" t="s">
        <v>7322</v>
      </c>
      <c r="C1391" s="22"/>
      <c r="D1391" s="26" t="str">
        <f>HYPERLINK("https://kokusho.nijl.ac.jp/biblio/100232367/148")</f>
        <v>https://kokusho.nijl.ac.jp/biblio/100232367/148</v>
      </c>
      <c r="E1391" s="22"/>
      <c r="F1391" s="22"/>
      <c r="G1391" s="22"/>
    </row>
    <row r="1392" spans="1:7" x14ac:dyDescent="0.15">
      <c r="A1392" s="19" t="s">
        <v>6767</v>
      </c>
      <c r="B1392" s="25" t="s">
        <v>7323</v>
      </c>
      <c r="C1392" s="22"/>
      <c r="D1392" s="26" t="str">
        <f>HYPERLINK("https://kokusho.nijl.ac.jp/biblio/100232367/148")</f>
        <v>https://kokusho.nijl.ac.jp/biblio/100232367/148</v>
      </c>
      <c r="E1392" s="22"/>
      <c r="F1392" s="22"/>
      <c r="G1392" s="22"/>
    </row>
    <row r="1393" spans="1:7" x14ac:dyDescent="0.15">
      <c r="A1393" s="19" t="s">
        <v>6767</v>
      </c>
      <c r="B1393" s="25" t="s">
        <v>7324</v>
      </c>
      <c r="C1393" s="22"/>
      <c r="D1393" s="26" t="str">
        <f t="shared" ref="D1393:D1399" si="92">HYPERLINK("https://kokusho.nijl.ac.jp/biblio/100232367/149")</f>
        <v>https://kokusho.nijl.ac.jp/biblio/100232367/149</v>
      </c>
      <c r="E1393" s="22"/>
      <c r="F1393" s="22"/>
      <c r="G1393" s="22"/>
    </row>
    <row r="1394" spans="1:7" x14ac:dyDescent="0.15">
      <c r="A1394" s="19" t="s">
        <v>6767</v>
      </c>
      <c r="B1394" s="25" t="s">
        <v>7325</v>
      </c>
      <c r="C1394" s="22"/>
      <c r="D1394" s="26" t="str">
        <f t="shared" si="92"/>
        <v>https://kokusho.nijl.ac.jp/biblio/100232367/149</v>
      </c>
      <c r="E1394" s="22"/>
      <c r="F1394" s="22"/>
      <c r="G1394" s="22"/>
    </row>
    <row r="1395" spans="1:7" x14ac:dyDescent="0.15">
      <c r="A1395" s="19" t="s">
        <v>6767</v>
      </c>
      <c r="B1395" s="25" t="s">
        <v>6197</v>
      </c>
      <c r="C1395" s="22"/>
      <c r="D1395" s="26" t="str">
        <f t="shared" si="92"/>
        <v>https://kokusho.nijl.ac.jp/biblio/100232367/149</v>
      </c>
      <c r="E1395" s="22"/>
      <c r="F1395" s="22"/>
      <c r="G1395" s="22"/>
    </row>
    <row r="1396" spans="1:7" x14ac:dyDescent="0.15">
      <c r="A1396" s="19" t="s">
        <v>6767</v>
      </c>
      <c r="B1396" s="25" t="s">
        <v>7326</v>
      </c>
      <c r="C1396" s="22"/>
      <c r="D1396" s="26" t="str">
        <f t="shared" si="92"/>
        <v>https://kokusho.nijl.ac.jp/biblio/100232367/149</v>
      </c>
      <c r="E1396" s="22"/>
      <c r="F1396" s="22"/>
      <c r="G1396" s="22"/>
    </row>
    <row r="1397" spans="1:7" x14ac:dyDescent="0.15">
      <c r="A1397" s="19" t="s">
        <v>6767</v>
      </c>
      <c r="B1397" s="25" t="s">
        <v>7327</v>
      </c>
      <c r="C1397" s="22"/>
      <c r="D1397" s="26" t="str">
        <f t="shared" si="92"/>
        <v>https://kokusho.nijl.ac.jp/biblio/100232367/149</v>
      </c>
      <c r="E1397" s="22"/>
      <c r="F1397" s="22"/>
      <c r="G1397" s="22"/>
    </row>
    <row r="1398" spans="1:7" x14ac:dyDescent="0.15">
      <c r="A1398" s="19" t="s">
        <v>6767</v>
      </c>
      <c r="B1398" s="25" t="s">
        <v>7328</v>
      </c>
      <c r="C1398" s="22"/>
      <c r="D1398" s="26" t="str">
        <f t="shared" si="92"/>
        <v>https://kokusho.nijl.ac.jp/biblio/100232367/149</v>
      </c>
      <c r="E1398" s="22"/>
      <c r="F1398" s="22"/>
      <c r="G1398" s="22"/>
    </row>
    <row r="1399" spans="1:7" x14ac:dyDescent="0.15">
      <c r="A1399" s="19" t="s">
        <v>6767</v>
      </c>
      <c r="B1399" s="25" t="s">
        <v>7329</v>
      </c>
      <c r="C1399" s="22"/>
      <c r="D1399" s="26" t="str">
        <f t="shared" si="92"/>
        <v>https://kokusho.nijl.ac.jp/biblio/100232367/149</v>
      </c>
      <c r="E1399" s="22"/>
      <c r="F1399" s="22"/>
      <c r="G1399" s="22"/>
    </row>
    <row r="1400" spans="1:7" x14ac:dyDescent="0.15">
      <c r="A1400" s="19" t="s">
        <v>6767</v>
      </c>
      <c r="B1400" s="25" t="s">
        <v>7330</v>
      </c>
      <c r="C1400" s="22"/>
      <c r="D1400" s="26" t="str">
        <f t="shared" ref="D1400:D1407" si="93">HYPERLINK("https://kokusho.nijl.ac.jp/biblio/100232367/150")</f>
        <v>https://kokusho.nijl.ac.jp/biblio/100232367/150</v>
      </c>
      <c r="E1400" s="22"/>
      <c r="F1400" s="22"/>
      <c r="G1400" s="22"/>
    </row>
    <row r="1401" spans="1:7" x14ac:dyDescent="0.15">
      <c r="A1401" s="19" t="s">
        <v>6767</v>
      </c>
      <c r="B1401" s="25" t="s">
        <v>7331</v>
      </c>
      <c r="C1401" s="22"/>
      <c r="D1401" s="26" t="str">
        <f t="shared" si="93"/>
        <v>https://kokusho.nijl.ac.jp/biblio/100232367/150</v>
      </c>
      <c r="E1401" s="22"/>
      <c r="F1401" s="22"/>
      <c r="G1401" s="22"/>
    </row>
    <row r="1402" spans="1:7" x14ac:dyDescent="0.15">
      <c r="A1402" s="19" t="s">
        <v>6767</v>
      </c>
      <c r="B1402" s="25" t="s">
        <v>7332</v>
      </c>
      <c r="C1402" s="22"/>
      <c r="D1402" s="26" t="str">
        <f t="shared" si="93"/>
        <v>https://kokusho.nijl.ac.jp/biblio/100232367/150</v>
      </c>
      <c r="E1402" s="22"/>
      <c r="F1402" s="22"/>
      <c r="G1402" s="22"/>
    </row>
    <row r="1403" spans="1:7" x14ac:dyDescent="0.15">
      <c r="A1403" s="19" t="s">
        <v>6767</v>
      </c>
      <c r="B1403" s="25" t="s">
        <v>7333</v>
      </c>
      <c r="C1403" s="22"/>
      <c r="D1403" s="26" t="str">
        <f t="shared" si="93"/>
        <v>https://kokusho.nijl.ac.jp/biblio/100232367/150</v>
      </c>
      <c r="E1403" s="22"/>
      <c r="F1403" s="22"/>
      <c r="G1403" s="22"/>
    </row>
    <row r="1404" spans="1:7" x14ac:dyDescent="0.15">
      <c r="A1404" s="19" t="s">
        <v>6767</v>
      </c>
      <c r="B1404" s="25" t="s">
        <v>7334</v>
      </c>
      <c r="C1404" s="22"/>
      <c r="D1404" s="26" t="str">
        <f t="shared" si="93"/>
        <v>https://kokusho.nijl.ac.jp/biblio/100232367/150</v>
      </c>
      <c r="E1404" s="22"/>
      <c r="F1404" s="22"/>
      <c r="G1404" s="22"/>
    </row>
    <row r="1405" spans="1:7" x14ac:dyDescent="0.15">
      <c r="A1405" s="19" t="s">
        <v>6767</v>
      </c>
      <c r="B1405" s="25" t="s">
        <v>7335</v>
      </c>
      <c r="C1405" s="22"/>
      <c r="D1405" s="26" t="str">
        <f t="shared" si="93"/>
        <v>https://kokusho.nijl.ac.jp/biblio/100232367/150</v>
      </c>
      <c r="E1405" s="22"/>
      <c r="F1405" s="22"/>
      <c r="G1405" s="22"/>
    </row>
    <row r="1406" spans="1:7" x14ac:dyDescent="0.15">
      <c r="A1406" s="19" t="s">
        <v>6767</v>
      </c>
      <c r="B1406" s="25" t="s">
        <v>6193</v>
      </c>
      <c r="C1406" s="22"/>
      <c r="D1406" s="26" t="str">
        <f t="shared" si="93"/>
        <v>https://kokusho.nijl.ac.jp/biblio/100232367/150</v>
      </c>
      <c r="E1406" s="22"/>
      <c r="F1406" s="22"/>
      <c r="G1406" s="22"/>
    </row>
    <row r="1407" spans="1:7" x14ac:dyDescent="0.15">
      <c r="A1407" s="19" t="s">
        <v>6767</v>
      </c>
      <c r="B1407" s="25" t="s">
        <v>7336</v>
      </c>
      <c r="C1407" s="22"/>
      <c r="D1407" s="26" t="str">
        <f t="shared" si="93"/>
        <v>https://kokusho.nijl.ac.jp/biblio/100232367/150</v>
      </c>
      <c r="E1407" s="22"/>
      <c r="F1407" s="22"/>
      <c r="G1407" s="22"/>
    </row>
    <row r="1408" spans="1:7" x14ac:dyDescent="0.15">
      <c r="A1408" s="19" t="s">
        <v>6767</v>
      </c>
      <c r="B1408" s="25" t="s">
        <v>7337</v>
      </c>
      <c r="C1408" s="22"/>
      <c r="D1408" s="26" t="str">
        <f>HYPERLINK("https://kokusho.nijl.ac.jp/biblio/100232367/151")</f>
        <v>https://kokusho.nijl.ac.jp/biblio/100232367/151</v>
      </c>
      <c r="E1408" s="22"/>
      <c r="F1408" s="22"/>
      <c r="G1408" s="22"/>
    </row>
    <row r="1409" spans="1:7" x14ac:dyDescent="0.15">
      <c r="A1409" s="19" t="s">
        <v>6767</v>
      </c>
      <c r="B1409" s="25" t="s">
        <v>7338</v>
      </c>
      <c r="C1409" s="22"/>
      <c r="D1409" s="26" t="str">
        <f>HYPERLINK("https://kokusho.nijl.ac.jp/biblio/100232367/151")</f>
        <v>https://kokusho.nijl.ac.jp/biblio/100232367/151</v>
      </c>
      <c r="E1409" s="22"/>
      <c r="F1409" s="22"/>
      <c r="G1409" s="22"/>
    </row>
    <row r="1410" spans="1:7" x14ac:dyDescent="0.15">
      <c r="A1410" s="19" t="s">
        <v>6767</v>
      </c>
      <c r="B1410" s="25" t="s">
        <v>7339</v>
      </c>
      <c r="C1410" s="22"/>
      <c r="D1410" s="26" t="str">
        <f>HYPERLINK("https://kokusho.nijl.ac.jp/biblio/100232367/151")</f>
        <v>https://kokusho.nijl.ac.jp/biblio/100232367/151</v>
      </c>
      <c r="E1410" s="22"/>
      <c r="F1410" s="22"/>
      <c r="G1410" s="22"/>
    </row>
    <row r="1411" spans="1:7" x14ac:dyDescent="0.15">
      <c r="A1411" s="19" t="s">
        <v>6767</v>
      </c>
      <c r="B1411" s="25" t="s">
        <v>7340</v>
      </c>
      <c r="C1411" s="22"/>
      <c r="D1411" s="26" t="str">
        <f>HYPERLINK("https://kokusho.nijl.ac.jp/biblio/100232367/151")</f>
        <v>https://kokusho.nijl.ac.jp/biblio/100232367/151</v>
      </c>
      <c r="E1411" s="22"/>
      <c r="F1411" s="22"/>
      <c r="G1411" s="22"/>
    </row>
    <row r="1412" spans="1:7" x14ac:dyDescent="0.15">
      <c r="A1412" s="19" t="s">
        <v>6767</v>
      </c>
      <c r="B1412" s="25" t="s">
        <v>7341</v>
      </c>
      <c r="C1412" s="22"/>
      <c r="D1412" s="26" t="str">
        <f>HYPERLINK("https://kokusho.nijl.ac.jp/biblio/100232367/152")</f>
        <v>https://kokusho.nijl.ac.jp/biblio/100232367/152</v>
      </c>
      <c r="E1412" s="22"/>
      <c r="F1412" s="22"/>
      <c r="G1412" s="22"/>
    </row>
    <row r="1413" spans="1:7" x14ac:dyDescent="0.15">
      <c r="A1413" s="19" t="s">
        <v>6767</v>
      </c>
      <c r="B1413" s="25" t="s">
        <v>7342</v>
      </c>
      <c r="C1413" s="22"/>
      <c r="D1413" s="26" t="str">
        <f>HYPERLINK("https://kokusho.nijl.ac.jp/biblio/100232367/152")</f>
        <v>https://kokusho.nijl.ac.jp/biblio/100232367/152</v>
      </c>
      <c r="E1413" s="22"/>
      <c r="F1413" s="22"/>
      <c r="G1413" s="22"/>
    </row>
    <row r="1414" spans="1:7" x14ac:dyDescent="0.15">
      <c r="A1414" s="19" t="s">
        <v>6767</v>
      </c>
      <c r="B1414" s="25" t="s">
        <v>7343</v>
      </c>
      <c r="C1414" s="22"/>
      <c r="D1414" s="26" t="str">
        <f>HYPERLINK("https://kokusho.nijl.ac.jp/biblio/100232367/152")</f>
        <v>https://kokusho.nijl.ac.jp/biblio/100232367/152</v>
      </c>
      <c r="E1414" s="22"/>
      <c r="F1414" s="22"/>
      <c r="G1414" s="22"/>
    </row>
    <row r="1415" spans="1:7" x14ac:dyDescent="0.15">
      <c r="A1415" s="19" t="s">
        <v>6767</v>
      </c>
      <c r="B1415" s="25" t="s">
        <v>6216</v>
      </c>
      <c r="C1415" s="22"/>
      <c r="D1415" s="26" t="str">
        <f>HYPERLINK("https://kokusho.nijl.ac.jp/biblio/100232367/152")</f>
        <v>https://kokusho.nijl.ac.jp/biblio/100232367/152</v>
      </c>
      <c r="E1415" s="22"/>
      <c r="F1415" s="22"/>
      <c r="G1415" s="22"/>
    </row>
    <row r="1416" spans="1:7" x14ac:dyDescent="0.15">
      <c r="A1416" s="19" t="s">
        <v>6767</v>
      </c>
      <c r="B1416" s="25" t="s">
        <v>7344</v>
      </c>
      <c r="C1416" s="22"/>
      <c r="D1416" s="26" t="str">
        <f>HYPERLINK("https://kokusho.nijl.ac.jp/biblio/100232367/152")</f>
        <v>https://kokusho.nijl.ac.jp/biblio/100232367/152</v>
      </c>
      <c r="E1416" s="22"/>
      <c r="F1416" s="22"/>
      <c r="G1416" s="22"/>
    </row>
    <row r="1417" spans="1:7" x14ac:dyDescent="0.15">
      <c r="A1417" s="19" t="s">
        <v>6767</v>
      </c>
      <c r="B1417" s="25" t="s">
        <v>7345</v>
      </c>
      <c r="C1417" s="22"/>
      <c r="D1417" s="26" t="str">
        <f t="shared" ref="D1417:D1423" si="94">HYPERLINK("https://kokusho.nijl.ac.jp/biblio/100232367/153")</f>
        <v>https://kokusho.nijl.ac.jp/biblio/100232367/153</v>
      </c>
      <c r="E1417" s="22"/>
      <c r="F1417" s="22"/>
      <c r="G1417" s="22"/>
    </row>
    <row r="1418" spans="1:7" x14ac:dyDescent="0.15">
      <c r="A1418" s="19" t="s">
        <v>6767</v>
      </c>
      <c r="B1418" s="25" t="s">
        <v>7346</v>
      </c>
      <c r="C1418" s="22"/>
      <c r="D1418" s="26" t="str">
        <f t="shared" si="94"/>
        <v>https://kokusho.nijl.ac.jp/biblio/100232367/153</v>
      </c>
      <c r="E1418" s="22"/>
      <c r="F1418" s="22"/>
      <c r="G1418" s="22"/>
    </row>
    <row r="1419" spans="1:7" x14ac:dyDescent="0.15">
      <c r="A1419" s="19" t="s">
        <v>6767</v>
      </c>
      <c r="B1419" s="25" t="s">
        <v>7347</v>
      </c>
      <c r="C1419" s="22"/>
      <c r="D1419" s="26" t="str">
        <f t="shared" si="94"/>
        <v>https://kokusho.nijl.ac.jp/biblio/100232367/153</v>
      </c>
      <c r="E1419" s="22"/>
      <c r="F1419" s="22"/>
      <c r="G1419" s="22"/>
    </row>
    <row r="1420" spans="1:7" x14ac:dyDescent="0.15">
      <c r="A1420" s="19" t="s">
        <v>6767</v>
      </c>
      <c r="B1420" s="25" t="s">
        <v>7348</v>
      </c>
      <c r="C1420" s="22"/>
      <c r="D1420" s="26" t="str">
        <f t="shared" si="94"/>
        <v>https://kokusho.nijl.ac.jp/biblio/100232367/153</v>
      </c>
      <c r="E1420" s="22"/>
      <c r="F1420" s="22"/>
      <c r="G1420" s="22"/>
    </row>
    <row r="1421" spans="1:7" x14ac:dyDescent="0.15">
      <c r="A1421" s="19" t="s">
        <v>6767</v>
      </c>
      <c r="B1421" s="25" t="s">
        <v>7349</v>
      </c>
      <c r="C1421" s="22"/>
      <c r="D1421" s="26" t="str">
        <f t="shared" si="94"/>
        <v>https://kokusho.nijl.ac.jp/biblio/100232367/153</v>
      </c>
      <c r="E1421" s="22"/>
      <c r="F1421" s="22"/>
      <c r="G1421" s="22"/>
    </row>
    <row r="1422" spans="1:7" x14ac:dyDescent="0.15">
      <c r="A1422" s="19" t="s">
        <v>6767</v>
      </c>
      <c r="B1422" s="25" t="s">
        <v>7350</v>
      </c>
      <c r="C1422" s="22"/>
      <c r="D1422" s="26" t="str">
        <f t="shared" si="94"/>
        <v>https://kokusho.nijl.ac.jp/biblio/100232367/153</v>
      </c>
      <c r="E1422" s="22"/>
      <c r="F1422" s="22"/>
      <c r="G1422" s="22"/>
    </row>
    <row r="1423" spans="1:7" x14ac:dyDescent="0.15">
      <c r="A1423" s="19" t="s">
        <v>6767</v>
      </c>
      <c r="B1423" s="25" t="s">
        <v>7351</v>
      </c>
      <c r="C1423" s="22"/>
      <c r="D1423" s="26" t="str">
        <f t="shared" si="94"/>
        <v>https://kokusho.nijl.ac.jp/biblio/100232367/153</v>
      </c>
      <c r="E1423" s="22"/>
      <c r="F1423" s="22"/>
      <c r="G1423" s="22"/>
    </row>
    <row r="1424" spans="1:7" x14ac:dyDescent="0.15">
      <c r="A1424" s="19" t="s">
        <v>6767</v>
      </c>
      <c r="B1424" s="25" t="s">
        <v>7352</v>
      </c>
      <c r="C1424" s="22"/>
      <c r="D1424" s="26" t="str">
        <f t="shared" ref="D1424:D1434" si="95">HYPERLINK("https://kokusho.nijl.ac.jp/biblio/100232367/154")</f>
        <v>https://kokusho.nijl.ac.jp/biblio/100232367/154</v>
      </c>
      <c r="E1424" s="22"/>
      <c r="F1424" s="22"/>
      <c r="G1424" s="22"/>
    </row>
    <row r="1425" spans="1:7" x14ac:dyDescent="0.15">
      <c r="A1425" s="19" t="s">
        <v>6767</v>
      </c>
      <c r="B1425" s="25" t="s">
        <v>7353</v>
      </c>
      <c r="C1425" s="22"/>
      <c r="D1425" s="26" t="str">
        <f t="shared" si="95"/>
        <v>https://kokusho.nijl.ac.jp/biblio/100232367/154</v>
      </c>
      <c r="E1425" s="22"/>
      <c r="F1425" s="22"/>
      <c r="G1425" s="22"/>
    </row>
    <row r="1426" spans="1:7" x14ac:dyDescent="0.15">
      <c r="A1426" s="19" t="s">
        <v>6767</v>
      </c>
      <c r="B1426" s="25" t="s">
        <v>7354</v>
      </c>
      <c r="C1426" s="22"/>
      <c r="D1426" s="26" t="str">
        <f t="shared" si="95"/>
        <v>https://kokusho.nijl.ac.jp/biblio/100232367/154</v>
      </c>
      <c r="E1426" s="22"/>
      <c r="F1426" s="22"/>
      <c r="G1426" s="22"/>
    </row>
    <row r="1427" spans="1:7" x14ac:dyDescent="0.15">
      <c r="A1427" s="19" t="s">
        <v>6767</v>
      </c>
      <c r="B1427" s="25" t="s">
        <v>7355</v>
      </c>
      <c r="C1427" s="22"/>
      <c r="D1427" s="26" t="str">
        <f t="shared" si="95"/>
        <v>https://kokusho.nijl.ac.jp/biblio/100232367/154</v>
      </c>
      <c r="E1427" s="22"/>
      <c r="F1427" s="22"/>
      <c r="G1427" s="22"/>
    </row>
    <row r="1428" spans="1:7" x14ac:dyDescent="0.15">
      <c r="A1428" s="19" t="s">
        <v>6767</v>
      </c>
      <c r="B1428" s="25" t="s">
        <v>7356</v>
      </c>
      <c r="C1428" s="22"/>
      <c r="D1428" s="26" t="str">
        <f t="shared" si="95"/>
        <v>https://kokusho.nijl.ac.jp/biblio/100232367/154</v>
      </c>
      <c r="E1428" s="22"/>
      <c r="F1428" s="22"/>
      <c r="G1428" s="22"/>
    </row>
    <row r="1429" spans="1:7" x14ac:dyDescent="0.15">
      <c r="A1429" s="19" t="s">
        <v>6767</v>
      </c>
      <c r="B1429" s="25" t="s">
        <v>7357</v>
      </c>
      <c r="C1429" s="22"/>
      <c r="D1429" s="26" t="str">
        <f t="shared" si="95"/>
        <v>https://kokusho.nijl.ac.jp/biblio/100232367/154</v>
      </c>
      <c r="E1429" s="22"/>
      <c r="F1429" s="22"/>
      <c r="G1429" s="22"/>
    </row>
    <row r="1430" spans="1:7" x14ac:dyDescent="0.15">
      <c r="A1430" s="19" t="s">
        <v>6767</v>
      </c>
      <c r="B1430" s="25" t="s">
        <v>7358</v>
      </c>
      <c r="C1430" s="22"/>
      <c r="D1430" s="26" t="str">
        <f t="shared" si="95"/>
        <v>https://kokusho.nijl.ac.jp/biblio/100232367/154</v>
      </c>
      <c r="E1430" s="22"/>
      <c r="F1430" s="22"/>
      <c r="G1430" s="22"/>
    </row>
    <row r="1431" spans="1:7" x14ac:dyDescent="0.15">
      <c r="A1431" s="19" t="s">
        <v>6767</v>
      </c>
      <c r="B1431" s="25" t="s">
        <v>7359</v>
      </c>
      <c r="C1431" s="22"/>
      <c r="D1431" s="26" t="str">
        <f t="shared" si="95"/>
        <v>https://kokusho.nijl.ac.jp/biblio/100232367/154</v>
      </c>
      <c r="E1431" s="22"/>
      <c r="F1431" s="22"/>
      <c r="G1431" s="22"/>
    </row>
    <row r="1432" spans="1:7" x14ac:dyDescent="0.15">
      <c r="A1432" s="19" t="s">
        <v>6767</v>
      </c>
      <c r="B1432" s="25" t="s">
        <v>7360</v>
      </c>
      <c r="C1432" s="22"/>
      <c r="D1432" s="26" t="str">
        <f t="shared" si="95"/>
        <v>https://kokusho.nijl.ac.jp/biblio/100232367/154</v>
      </c>
      <c r="E1432" s="22"/>
      <c r="F1432" s="22"/>
      <c r="G1432" s="22"/>
    </row>
    <row r="1433" spans="1:7" x14ac:dyDescent="0.15">
      <c r="A1433" s="19" t="s">
        <v>6767</v>
      </c>
      <c r="B1433" s="25" t="s">
        <v>7361</v>
      </c>
      <c r="C1433" s="22"/>
      <c r="D1433" s="26" t="str">
        <f t="shared" si="95"/>
        <v>https://kokusho.nijl.ac.jp/biblio/100232367/154</v>
      </c>
      <c r="E1433" s="22"/>
      <c r="F1433" s="22"/>
      <c r="G1433" s="22"/>
    </row>
    <row r="1434" spans="1:7" x14ac:dyDescent="0.15">
      <c r="A1434" s="19" t="s">
        <v>6767</v>
      </c>
      <c r="B1434" s="25" t="s">
        <v>7362</v>
      </c>
      <c r="C1434" s="22"/>
      <c r="D1434" s="26" t="str">
        <f t="shared" si="95"/>
        <v>https://kokusho.nijl.ac.jp/biblio/100232367/154</v>
      </c>
      <c r="E1434" s="22"/>
      <c r="F1434" s="22"/>
      <c r="G1434" s="22"/>
    </row>
    <row r="1435" spans="1:7" x14ac:dyDescent="0.15">
      <c r="A1435" s="19" t="s">
        <v>6767</v>
      </c>
      <c r="B1435" s="25" t="s">
        <v>7363</v>
      </c>
      <c r="C1435" s="22"/>
      <c r="D1435" s="26" t="str">
        <f t="shared" ref="D1435:D1440" si="96">HYPERLINK("https://kokusho.nijl.ac.jp/biblio/100232367/155")</f>
        <v>https://kokusho.nijl.ac.jp/biblio/100232367/155</v>
      </c>
      <c r="E1435" s="22"/>
      <c r="F1435" s="22"/>
      <c r="G1435" s="22"/>
    </row>
    <row r="1436" spans="1:7" ht="18.75" x14ac:dyDescent="0.15">
      <c r="A1436" s="19" t="s">
        <v>6767</v>
      </c>
      <c r="B1436" s="25" t="s">
        <v>8961</v>
      </c>
      <c r="C1436" s="22"/>
      <c r="D1436" s="26" t="str">
        <f t="shared" si="96"/>
        <v>https://kokusho.nijl.ac.jp/biblio/100232367/155</v>
      </c>
      <c r="E1436" s="22"/>
      <c r="F1436" s="22"/>
      <c r="G1436" s="22"/>
    </row>
    <row r="1437" spans="1:7" x14ac:dyDescent="0.15">
      <c r="A1437" s="19" t="s">
        <v>6767</v>
      </c>
      <c r="B1437" s="25" t="s">
        <v>7364</v>
      </c>
      <c r="C1437" s="22"/>
      <c r="D1437" s="26" t="str">
        <f t="shared" si="96"/>
        <v>https://kokusho.nijl.ac.jp/biblio/100232367/155</v>
      </c>
      <c r="E1437" s="22"/>
      <c r="F1437" s="22"/>
      <c r="G1437" s="22"/>
    </row>
    <row r="1438" spans="1:7" x14ac:dyDescent="0.15">
      <c r="A1438" s="19" t="s">
        <v>6767</v>
      </c>
      <c r="B1438" s="25" t="s">
        <v>7365</v>
      </c>
      <c r="C1438" s="22"/>
      <c r="D1438" s="26" t="str">
        <f t="shared" si="96"/>
        <v>https://kokusho.nijl.ac.jp/biblio/100232367/155</v>
      </c>
      <c r="E1438" s="22"/>
      <c r="F1438" s="22"/>
      <c r="G1438" s="22"/>
    </row>
    <row r="1439" spans="1:7" x14ac:dyDescent="0.15">
      <c r="A1439" s="19" t="s">
        <v>6767</v>
      </c>
      <c r="B1439" s="25" t="s">
        <v>6220</v>
      </c>
      <c r="C1439" s="22"/>
      <c r="D1439" s="26" t="str">
        <f t="shared" si="96"/>
        <v>https://kokusho.nijl.ac.jp/biblio/100232367/155</v>
      </c>
      <c r="E1439" s="22"/>
      <c r="F1439" s="22"/>
      <c r="G1439" s="22"/>
    </row>
    <row r="1440" spans="1:7" x14ac:dyDescent="0.15">
      <c r="A1440" s="19" t="s">
        <v>6767</v>
      </c>
      <c r="B1440" s="25" t="s">
        <v>7366</v>
      </c>
      <c r="C1440" s="22"/>
      <c r="D1440" s="26" t="str">
        <f t="shared" si="96"/>
        <v>https://kokusho.nijl.ac.jp/biblio/100232367/155</v>
      </c>
      <c r="E1440" s="22"/>
      <c r="F1440" s="22"/>
      <c r="G1440" s="22"/>
    </row>
    <row r="1441" spans="1:7" x14ac:dyDescent="0.15">
      <c r="A1441" s="19" t="s">
        <v>6767</v>
      </c>
      <c r="B1441" s="25" t="s">
        <v>7367</v>
      </c>
      <c r="C1441" s="22"/>
      <c r="D1441" s="26" t="str">
        <f t="shared" ref="D1441:D1449" si="97">HYPERLINK("https://kokusho.nijl.ac.jp/biblio/100232367/156")</f>
        <v>https://kokusho.nijl.ac.jp/biblio/100232367/156</v>
      </c>
      <c r="E1441" s="22"/>
      <c r="F1441" s="22"/>
      <c r="G1441" s="22"/>
    </row>
    <row r="1442" spans="1:7" x14ac:dyDescent="0.15">
      <c r="A1442" s="19" t="s">
        <v>6767</v>
      </c>
      <c r="B1442" s="25" t="s">
        <v>7368</v>
      </c>
      <c r="C1442" s="22"/>
      <c r="D1442" s="26" t="str">
        <f t="shared" si="97"/>
        <v>https://kokusho.nijl.ac.jp/biblio/100232367/156</v>
      </c>
      <c r="E1442" s="22"/>
      <c r="F1442" s="22"/>
      <c r="G1442" s="22"/>
    </row>
    <row r="1443" spans="1:7" x14ac:dyDescent="0.15">
      <c r="A1443" s="19" t="s">
        <v>6767</v>
      </c>
      <c r="B1443" s="25" t="s">
        <v>7369</v>
      </c>
      <c r="C1443" s="22"/>
      <c r="D1443" s="26" t="str">
        <f t="shared" si="97"/>
        <v>https://kokusho.nijl.ac.jp/biblio/100232367/156</v>
      </c>
      <c r="E1443" s="22"/>
      <c r="F1443" s="22"/>
      <c r="G1443" s="22"/>
    </row>
    <row r="1444" spans="1:7" x14ac:dyDescent="0.15">
      <c r="A1444" s="19" t="s">
        <v>6767</v>
      </c>
      <c r="B1444" s="25" t="s">
        <v>7370</v>
      </c>
      <c r="C1444" s="22"/>
      <c r="D1444" s="26" t="str">
        <f t="shared" si="97"/>
        <v>https://kokusho.nijl.ac.jp/biblio/100232367/156</v>
      </c>
      <c r="E1444" s="22"/>
      <c r="F1444" s="22"/>
      <c r="G1444" s="22"/>
    </row>
    <row r="1445" spans="1:7" x14ac:dyDescent="0.15">
      <c r="A1445" s="19" t="s">
        <v>6767</v>
      </c>
      <c r="B1445" s="25" t="s">
        <v>7371</v>
      </c>
      <c r="C1445" s="22"/>
      <c r="D1445" s="26" t="str">
        <f t="shared" si="97"/>
        <v>https://kokusho.nijl.ac.jp/biblio/100232367/156</v>
      </c>
      <c r="E1445" s="22"/>
      <c r="F1445" s="22"/>
      <c r="G1445" s="22"/>
    </row>
    <row r="1446" spans="1:7" x14ac:dyDescent="0.15">
      <c r="A1446" s="19" t="s">
        <v>6767</v>
      </c>
      <c r="B1446" s="25" t="s">
        <v>7372</v>
      </c>
      <c r="C1446" s="22"/>
      <c r="D1446" s="26" t="str">
        <f t="shared" si="97"/>
        <v>https://kokusho.nijl.ac.jp/biblio/100232367/156</v>
      </c>
      <c r="E1446" s="22"/>
      <c r="F1446" s="22"/>
      <c r="G1446" s="22"/>
    </row>
    <row r="1447" spans="1:7" x14ac:dyDescent="0.15">
      <c r="A1447" s="19" t="s">
        <v>6767</v>
      </c>
      <c r="B1447" s="25" t="s">
        <v>7373</v>
      </c>
      <c r="C1447" s="22"/>
      <c r="D1447" s="26" t="str">
        <f t="shared" si="97"/>
        <v>https://kokusho.nijl.ac.jp/biblio/100232367/156</v>
      </c>
      <c r="E1447" s="22"/>
      <c r="F1447" s="22"/>
      <c r="G1447" s="22"/>
    </row>
    <row r="1448" spans="1:7" x14ac:dyDescent="0.15">
      <c r="A1448" s="19" t="s">
        <v>6767</v>
      </c>
      <c r="B1448" s="25" t="s">
        <v>7374</v>
      </c>
      <c r="C1448" s="22"/>
      <c r="D1448" s="26" t="str">
        <f t="shared" si="97"/>
        <v>https://kokusho.nijl.ac.jp/biblio/100232367/156</v>
      </c>
      <c r="E1448" s="22"/>
      <c r="F1448" s="22"/>
      <c r="G1448" s="22"/>
    </row>
    <row r="1449" spans="1:7" x14ac:dyDescent="0.15">
      <c r="A1449" s="19" t="s">
        <v>6767</v>
      </c>
      <c r="B1449" s="25" t="s">
        <v>7375</v>
      </c>
      <c r="C1449" s="22"/>
      <c r="D1449" s="26" t="str">
        <f t="shared" si="97"/>
        <v>https://kokusho.nijl.ac.jp/biblio/100232367/156</v>
      </c>
      <c r="E1449" s="22"/>
      <c r="F1449" s="22"/>
      <c r="G1449" s="22"/>
    </row>
    <row r="1450" spans="1:7" x14ac:dyDescent="0.15">
      <c r="A1450" s="19" t="s">
        <v>6767</v>
      </c>
      <c r="B1450" s="25" t="s">
        <v>7376</v>
      </c>
      <c r="C1450" s="22"/>
      <c r="D1450" s="26" t="str">
        <f t="shared" ref="D1450:D1455" si="98">HYPERLINK("https://kokusho.nijl.ac.jp/biblio/100232367/157")</f>
        <v>https://kokusho.nijl.ac.jp/biblio/100232367/157</v>
      </c>
      <c r="E1450" s="22"/>
      <c r="F1450" s="22"/>
      <c r="G1450" s="22"/>
    </row>
    <row r="1451" spans="1:7" x14ac:dyDescent="0.15">
      <c r="A1451" s="19" t="s">
        <v>6767</v>
      </c>
      <c r="B1451" s="25" t="s">
        <v>7377</v>
      </c>
      <c r="C1451" s="22"/>
      <c r="D1451" s="26" t="str">
        <f t="shared" si="98"/>
        <v>https://kokusho.nijl.ac.jp/biblio/100232367/157</v>
      </c>
      <c r="E1451" s="22"/>
      <c r="F1451" s="22"/>
      <c r="G1451" s="22"/>
    </row>
    <row r="1452" spans="1:7" x14ac:dyDescent="0.15">
      <c r="A1452" s="19" t="s">
        <v>6767</v>
      </c>
      <c r="B1452" s="25" t="s">
        <v>7378</v>
      </c>
      <c r="C1452" s="22"/>
      <c r="D1452" s="26" t="str">
        <f t="shared" si="98"/>
        <v>https://kokusho.nijl.ac.jp/biblio/100232367/157</v>
      </c>
      <c r="E1452" s="22"/>
      <c r="F1452" s="22"/>
      <c r="G1452" s="22"/>
    </row>
    <row r="1453" spans="1:7" x14ac:dyDescent="0.15">
      <c r="A1453" s="19" t="s">
        <v>6767</v>
      </c>
      <c r="B1453" s="25" t="s">
        <v>7379</v>
      </c>
      <c r="C1453" s="22"/>
      <c r="D1453" s="26" t="str">
        <f t="shared" si="98"/>
        <v>https://kokusho.nijl.ac.jp/biblio/100232367/157</v>
      </c>
      <c r="E1453" s="22"/>
      <c r="F1453" s="22"/>
      <c r="G1453" s="22"/>
    </row>
    <row r="1454" spans="1:7" x14ac:dyDescent="0.15">
      <c r="A1454" s="19" t="s">
        <v>6767</v>
      </c>
      <c r="B1454" s="25" t="s">
        <v>7380</v>
      </c>
      <c r="C1454" s="22"/>
      <c r="D1454" s="26" t="str">
        <f t="shared" si="98"/>
        <v>https://kokusho.nijl.ac.jp/biblio/100232367/157</v>
      </c>
      <c r="E1454" s="22"/>
      <c r="F1454" s="22"/>
      <c r="G1454" s="22"/>
    </row>
    <row r="1455" spans="1:7" x14ac:dyDescent="0.15">
      <c r="A1455" s="19" t="s">
        <v>6767</v>
      </c>
      <c r="B1455" s="25" t="s">
        <v>7381</v>
      </c>
      <c r="C1455" s="22"/>
      <c r="D1455" s="26" t="str">
        <f t="shared" si="98"/>
        <v>https://kokusho.nijl.ac.jp/biblio/100232367/157</v>
      </c>
      <c r="E1455" s="22"/>
      <c r="F1455" s="22"/>
      <c r="G1455" s="22"/>
    </row>
    <row r="1456" spans="1:7" x14ac:dyDescent="0.15">
      <c r="A1456" s="19" t="s">
        <v>6767</v>
      </c>
      <c r="B1456" s="25" t="s">
        <v>7382</v>
      </c>
      <c r="C1456" s="22"/>
      <c r="D1456" s="26" t="str">
        <f t="shared" ref="D1456:D1464" si="99">HYPERLINK("https://kokusho.nijl.ac.jp/biblio/100232367/158")</f>
        <v>https://kokusho.nijl.ac.jp/biblio/100232367/158</v>
      </c>
      <c r="E1456" s="22"/>
      <c r="F1456" s="22"/>
      <c r="G1456" s="22"/>
    </row>
    <row r="1457" spans="1:7" x14ac:dyDescent="0.15">
      <c r="A1457" s="19" t="s">
        <v>6767</v>
      </c>
      <c r="B1457" s="25" t="s">
        <v>7383</v>
      </c>
      <c r="C1457" s="22"/>
      <c r="D1457" s="26" t="str">
        <f t="shared" si="99"/>
        <v>https://kokusho.nijl.ac.jp/biblio/100232367/158</v>
      </c>
      <c r="E1457" s="22"/>
      <c r="F1457" s="22"/>
      <c r="G1457" s="22"/>
    </row>
    <row r="1458" spans="1:7" x14ac:dyDescent="0.15">
      <c r="A1458" s="19" t="s">
        <v>6767</v>
      </c>
      <c r="B1458" s="25" t="s">
        <v>7384</v>
      </c>
      <c r="C1458" s="22"/>
      <c r="D1458" s="26" t="str">
        <f t="shared" si="99"/>
        <v>https://kokusho.nijl.ac.jp/biblio/100232367/158</v>
      </c>
      <c r="E1458" s="22"/>
      <c r="F1458" s="22"/>
      <c r="G1458" s="22"/>
    </row>
    <row r="1459" spans="1:7" x14ac:dyDescent="0.15">
      <c r="A1459" s="19" t="s">
        <v>6767</v>
      </c>
      <c r="B1459" s="25" t="s">
        <v>7385</v>
      </c>
      <c r="C1459" s="22"/>
      <c r="D1459" s="26" t="str">
        <f t="shared" si="99"/>
        <v>https://kokusho.nijl.ac.jp/biblio/100232367/158</v>
      </c>
      <c r="E1459" s="22"/>
      <c r="F1459" s="22"/>
      <c r="G1459" s="22"/>
    </row>
    <row r="1460" spans="1:7" x14ac:dyDescent="0.15">
      <c r="A1460" s="19" t="s">
        <v>6767</v>
      </c>
      <c r="B1460" s="25" t="s">
        <v>7386</v>
      </c>
      <c r="C1460" s="22"/>
      <c r="D1460" s="26" t="str">
        <f t="shared" si="99"/>
        <v>https://kokusho.nijl.ac.jp/biblio/100232367/158</v>
      </c>
      <c r="E1460" s="22"/>
      <c r="F1460" s="22"/>
      <c r="G1460" s="22"/>
    </row>
    <row r="1461" spans="1:7" x14ac:dyDescent="0.15">
      <c r="A1461" s="19" t="s">
        <v>6767</v>
      </c>
      <c r="B1461" s="25" t="s">
        <v>7387</v>
      </c>
      <c r="C1461" s="22"/>
      <c r="D1461" s="26" t="str">
        <f t="shared" si="99"/>
        <v>https://kokusho.nijl.ac.jp/biblio/100232367/158</v>
      </c>
      <c r="E1461" s="22"/>
      <c r="F1461" s="22"/>
      <c r="G1461" s="22"/>
    </row>
    <row r="1462" spans="1:7" x14ac:dyDescent="0.15">
      <c r="A1462" s="19" t="s">
        <v>6767</v>
      </c>
      <c r="B1462" s="25" t="s">
        <v>7388</v>
      </c>
      <c r="C1462" s="22"/>
      <c r="D1462" s="26" t="str">
        <f t="shared" si="99"/>
        <v>https://kokusho.nijl.ac.jp/biblio/100232367/158</v>
      </c>
      <c r="E1462" s="22"/>
      <c r="F1462" s="22"/>
      <c r="G1462" s="22"/>
    </row>
    <row r="1463" spans="1:7" x14ac:dyDescent="0.15">
      <c r="A1463" s="19" t="s">
        <v>6767</v>
      </c>
      <c r="B1463" s="25" t="s">
        <v>7389</v>
      </c>
      <c r="C1463" s="22"/>
      <c r="D1463" s="26" t="str">
        <f t="shared" si="99"/>
        <v>https://kokusho.nijl.ac.jp/biblio/100232367/158</v>
      </c>
      <c r="E1463" s="22"/>
      <c r="F1463" s="22"/>
      <c r="G1463" s="22"/>
    </row>
    <row r="1464" spans="1:7" x14ac:dyDescent="0.15">
      <c r="A1464" s="19" t="s">
        <v>6767</v>
      </c>
      <c r="B1464" s="25" t="s">
        <v>7390</v>
      </c>
      <c r="C1464" s="22"/>
      <c r="D1464" s="26" t="str">
        <f t="shared" si="99"/>
        <v>https://kokusho.nijl.ac.jp/biblio/100232367/158</v>
      </c>
      <c r="E1464" s="22"/>
      <c r="F1464" s="22"/>
      <c r="G1464" s="22"/>
    </row>
    <row r="1465" spans="1:7" x14ac:dyDescent="0.15">
      <c r="A1465" s="19" t="s">
        <v>6767</v>
      </c>
      <c r="B1465" s="25" t="s">
        <v>7391</v>
      </c>
      <c r="C1465" s="22"/>
      <c r="D1465" s="26" t="str">
        <f t="shared" ref="D1465:D1470" si="100">HYPERLINK("https://kokusho.nijl.ac.jp/biblio/100232367/159")</f>
        <v>https://kokusho.nijl.ac.jp/biblio/100232367/159</v>
      </c>
      <c r="E1465" s="22"/>
      <c r="F1465" s="22"/>
      <c r="G1465" s="22"/>
    </row>
    <row r="1466" spans="1:7" x14ac:dyDescent="0.15">
      <c r="A1466" s="19" t="s">
        <v>6767</v>
      </c>
      <c r="B1466" s="25" t="s">
        <v>7392</v>
      </c>
      <c r="C1466" s="22"/>
      <c r="D1466" s="26" t="str">
        <f t="shared" si="100"/>
        <v>https://kokusho.nijl.ac.jp/biblio/100232367/159</v>
      </c>
      <c r="E1466" s="22"/>
      <c r="F1466" s="22"/>
      <c r="G1466" s="22"/>
    </row>
    <row r="1467" spans="1:7" x14ac:dyDescent="0.15">
      <c r="A1467" s="19" t="s">
        <v>6767</v>
      </c>
      <c r="B1467" s="25" t="s">
        <v>7393</v>
      </c>
      <c r="C1467" s="22"/>
      <c r="D1467" s="26" t="str">
        <f t="shared" si="100"/>
        <v>https://kokusho.nijl.ac.jp/biblio/100232367/159</v>
      </c>
      <c r="E1467" s="22"/>
      <c r="F1467" s="22"/>
      <c r="G1467" s="22"/>
    </row>
    <row r="1468" spans="1:7" x14ac:dyDescent="0.15">
      <c r="A1468" s="19" t="s">
        <v>6767</v>
      </c>
      <c r="B1468" s="25" t="s">
        <v>7394</v>
      </c>
      <c r="C1468" s="22"/>
      <c r="D1468" s="26" t="str">
        <f t="shared" si="100"/>
        <v>https://kokusho.nijl.ac.jp/biblio/100232367/159</v>
      </c>
      <c r="E1468" s="22"/>
      <c r="F1468" s="22"/>
      <c r="G1468" s="22"/>
    </row>
    <row r="1469" spans="1:7" x14ac:dyDescent="0.15">
      <c r="A1469" s="19" t="s">
        <v>6767</v>
      </c>
      <c r="B1469" s="25" t="s">
        <v>7395</v>
      </c>
      <c r="C1469" s="22"/>
      <c r="D1469" s="26" t="str">
        <f t="shared" si="100"/>
        <v>https://kokusho.nijl.ac.jp/biblio/100232367/159</v>
      </c>
      <c r="E1469" s="22"/>
      <c r="F1469" s="22"/>
      <c r="G1469" s="22"/>
    </row>
    <row r="1470" spans="1:7" x14ac:dyDescent="0.15">
      <c r="A1470" s="19" t="s">
        <v>6767</v>
      </c>
      <c r="B1470" s="25" t="s">
        <v>7396</v>
      </c>
      <c r="C1470" s="22"/>
      <c r="D1470" s="26" t="str">
        <f t="shared" si="100"/>
        <v>https://kokusho.nijl.ac.jp/biblio/100232367/159</v>
      </c>
      <c r="E1470" s="22"/>
      <c r="F1470" s="22"/>
      <c r="G1470" s="22"/>
    </row>
    <row r="1471" spans="1:7" ht="27" x14ac:dyDescent="0.15">
      <c r="A1471" s="19" t="s">
        <v>6767</v>
      </c>
      <c r="B1471" s="25" t="s">
        <v>7397</v>
      </c>
      <c r="C1471" s="22"/>
      <c r="D1471" s="26" t="str">
        <f t="shared" ref="D1471:D1476" si="101">HYPERLINK("https://kokusho.nijl.ac.jp/biblio/100232367/160")</f>
        <v>https://kokusho.nijl.ac.jp/biblio/100232367/160</v>
      </c>
      <c r="E1471" s="22"/>
      <c r="F1471" s="22"/>
      <c r="G1471" s="22"/>
    </row>
    <row r="1472" spans="1:7" x14ac:dyDescent="0.15">
      <c r="A1472" s="19" t="s">
        <v>6767</v>
      </c>
      <c r="B1472" s="25" t="s">
        <v>7398</v>
      </c>
      <c r="C1472" s="22"/>
      <c r="D1472" s="26" t="str">
        <f t="shared" si="101"/>
        <v>https://kokusho.nijl.ac.jp/biblio/100232367/160</v>
      </c>
      <c r="E1472" s="22"/>
      <c r="F1472" s="22"/>
      <c r="G1472" s="22"/>
    </row>
    <row r="1473" spans="1:7" x14ac:dyDescent="0.15">
      <c r="A1473" s="19" t="s">
        <v>6767</v>
      </c>
      <c r="B1473" s="25" t="s">
        <v>7399</v>
      </c>
      <c r="C1473" s="22"/>
      <c r="D1473" s="26" t="str">
        <f t="shared" si="101"/>
        <v>https://kokusho.nijl.ac.jp/biblio/100232367/160</v>
      </c>
      <c r="E1473" s="22"/>
      <c r="F1473" s="22"/>
      <c r="G1473" s="22"/>
    </row>
    <row r="1474" spans="1:7" x14ac:dyDescent="0.15">
      <c r="A1474" s="19" t="s">
        <v>6767</v>
      </c>
      <c r="B1474" s="25" t="s">
        <v>7400</v>
      </c>
      <c r="C1474" s="22"/>
      <c r="D1474" s="26" t="str">
        <f t="shared" si="101"/>
        <v>https://kokusho.nijl.ac.jp/biblio/100232367/160</v>
      </c>
      <c r="E1474" s="22"/>
      <c r="F1474" s="22"/>
      <c r="G1474" s="22"/>
    </row>
    <row r="1475" spans="1:7" x14ac:dyDescent="0.15">
      <c r="A1475" s="19" t="s">
        <v>6767</v>
      </c>
      <c r="B1475" s="25" t="s">
        <v>7401</v>
      </c>
      <c r="C1475" s="22"/>
      <c r="D1475" s="26" t="str">
        <f t="shared" si="101"/>
        <v>https://kokusho.nijl.ac.jp/biblio/100232367/160</v>
      </c>
      <c r="E1475" s="22"/>
      <c r="F1475" s="22"/>
      <c r="G1475" s="22"/>
    </row>
    <row r="1476" spans="1:7" x14ac:dyDescent="0.15">
      <c r="A1476" s="19" t="s">
        <v>6767</v>
      </c>
      <c r="B1476" s="25" t="s">
        <v>6201</v>
      </c>
      <c r="C1476" s="22"/>
      <c r="D1476" s="26" t="str">
        <f t="shared" si="101"/>
        <v>https://kokusho.nijl.ac.jp/biblio/100232367/160</v>
      </c>
      <c r="E1476" s="22"/>
      <c r="F1476" s="22"/>
      <c r="G1476" s="22"/>
    </row>
    <row r="1477" spans="1:7" x14ac:dyDescent="0.15">
      <c r="A1477" s="19" t="s">
        <v>6767</v>
      </c>
      <c r="B1477" s="25" t="s">
        <v>7402</v>
      </c>
      <c r="C1477" s="22"/>
      <c r="D1477" s="26" t="str">
        <f>HYPERLINK("https://kokusho.nijl.ac.jp/biblio/100232367/161")</f>
        <v>https://kokusho.nijl.ac.jp/biblio/100232367/161</v>
      </c>
      <c r="E1477" s="22"/>
      <c r="F1477" s="22"/>
      <c r="G1477" s="22"/>
    </row>
    <row r="1478" spans="1:7" x14ac:dyDescent="0.15">
      <c r="A1478" s="19" t="s">
        <v>6767</v>
      </c>
      <c r="B1478" s="25" t="s">
        <v>7403</v>
      </c>
      <c r="C1478" s="22"/>
      <c r="D1478" s="26" t="str">
        <f>HYPERLINK("https://kokusho.nijl.ac.jp/biblio/100232367/161")</f>
        <v>https://kokusho.nijl.ac.jp/biblio/100232367/161</v>
      </c>
      <c r="E1478" s="22"/>
      <c r="F1478" s="22"/>
      <c r="G1478" s="22"/>
    </row>
    <row r="1479" spans="1:7" x14ac:dyDescent="0.15">
      <c r="A1479" s="19" t="s">
        <v>6767</v>
      </c>
      <c r="B1479" s="25" t="s">
        <v>7404</v>
      </c>
      <c r="C1479" s="22"/>
      <c r="D1479" s="26" t="str">
        <f>HYPERLINK("https://kokusho.nijl.ac.jp/biblio/100232367/161")</f>
        <v>https://kokusho.nijl.ac.jp/biblio/100232367/161</v>
      </c>
      <c r="E1479" s="22"/>
      <c r="F1479" s="22"/>
      <c r="G1479" s="22"/>
    </row>
    <row r="1480" spans="1:7" x14ac:dyDescent="0.15">
      <c r="A1480" s="19" t="s">
        <v>6767</v>
      </c>
      <c r="B1480" s="25" t="s">
        <v>7405</v>
      </c>
      <c r="C1480" s="22"/>
      <c r="D1480" s="26" t="str">
        <f>HYPERLINK("https://kokusho.nijl.ac.jp/biblio/100232367/161")</f>
        <v>https://kokusho.nijl.ac.jp/biblio/100232367/161</v>
      </c>
      <c r="E1480" s="22"/>
      <c r="F1480" s="22"/>
      <c r="G1480" s="22"/>
    </row>
    <row r="1481" spans="1:7" x14ac:dyDescent="0.15">
      <c r="A1481" s="19" t="s">
        <v>6767</v>
      </c>
      <c r="B1481" s="25" t="s">
        <v>7406</v>
      </c>
      <c r="C1481" s="22"/>
      <c r="D1481" s="26" t="str">
        <f>HYPERLINK("https://kokusho.nijl.ac.jp/biblio/100232367/161")</f>
        <v>https://kokusho.nijl.ac.jp/biblio/100232367/161</v>
      </c>
      <c r="E1481" s="22"/>
      <c r="F1481" s="22"/>
      <c r="G1481" s="22"/>
    </row>
    <row r="1482" spans="1:7" x14ac:dyDescent="0.15">
      <c r="A1482" s="19" t="s">
        <v>6767</v>
      </c>
      <c r="B1482" s="25" t="s">
        <v>7407</v>
      </c>
      <c r="C1482" s="22"/>
      <c r="D1482" s="26" t="str">
        <f t="shared" ref="D1482:D1488" si="102">HYPERLINK("https://kokusho.nijl.ac.jp/biblio/100232367/162")</f>
        <v>https://kokusho.nijl.ac.jp/biblio/100232367/162</v>
      </c>
      <c r="E1482" s="22"/>
      <c r="F1482" s="22"/>
      <c r="G1482" s="22"/>
    </row>
    <row r="1483" spans="1:7" x14ac:dyDescent="0.15">
      <c r="A1483" s="19" t="s">
        <v>6767</v>
      </c>
      <c r="B1483" s="25" t="s">
        <v>7408</v>
      </c>
      <c r="C1483" s="22"/>
      <c r="D1483" s="26" t="str">
        <f t="shared" si="102"/>
        <v>https://kokusho.nijl.ac.jp/biblio/100232367/162</v>
      </c>
      <c r="E1483" s="22"/>
      <c r="F1483" s="22"/>
      <c r="G1483" s="22"/>
    </row>
    <row r="1484" spans="1:7" x14ac:dyDescent="0.15">
      <c r="A1484" s="19" t="s">
        <v>6767</v>
      </c>
      <c r="B1484" s="25" t="s">
        <v>6606</v>
      </c>
      <c r="C1484" s="22"/>
      <c r="D1484" s="26" t="str">
        <f t="shared" si="102"/>
        <v>https://kokusho.nijl.ac.jp/biblio/100232367/162</v>
      </c>
      <c r="E1484" s="22"/>
      <c r="F1484" s="22"/>
      <c r="G1484" s="22"/>
    </row>
    <row r="1485" spans="1:7" x14ac:dyDescent="0.15">
      <c r="A1485" s="19" t="s">
        <v>6767</v>
      </c>
      <c r="B1485" s="25" t="s">
        <v>7409</v>
      </c>
      <c r="C1485" s="22"/>
      <c r="D1485" s="26" t="str">
        <f t="shared" si="102"/>
        <v>https://kokusho.nijl.ac.jp/biblio/100232367/162</v>
      </c>
      <c r="E1485" s="22"/>
      <c r="F1485" s="22"/>
      <c r="G1485" s="22"/>
    </row>
    <row r="1486" spans="1:7" x14ac:dyDescent="0.15">
      <c r="A1486" s="19" t="s">
        <v>6767</v>
      </c>
      <c r="B1486" s="25" t="s">
        <v>7410</v>
      </c>
      <c r="C1486" s="22"/>
      <c r="D1486" s="26" t="str">
        <f t="shared" si="102"/>
        <v>https://kokusho.nijl.ac.jp/biblio/100232367/162</v>
      </c>
      <c r="E1486" s="22"/>
      <c r="F1486" s="22"/>
      <c r="G1486" s="22"/>
    </row>
    <row r="1487" spans="1:7" x14ac:dyDescent="0.15">
      <c r="A1487" s="19" t="s">
        <v>6767</v>
      </c>
      <c r="B1487" s="25" t="s">
        <v>7411</v>
      </c>
      <c r="C1487" s="22"/>
      <c r="D1487" s="26" t="str">
        <f t="shared" si="102"/>
        <v>https://kokusho.nijl.ac.jp/biblio/100232367/162</v>
      </c>
      <c r="E1487" s="22"/>
      <c r="F1487" s="22"/>
      <c r="G1487" s="22"/>
    </row>
    <row r="1488" spans="1:7" x14ac:dyDescent="0.15">
      <c r="A1488" s="19" t="s">
        <v>6767</v>
      </c>
      <c r="B1488" s="25" t="s">
        <v>7412</v>
      </c>
      <c r="C1488" s="22"/>
      <c r="D1488" s="26" t="str">
        <f t="shared" si="102"/>
        <v>https://kokusho.nijl.ac.jp/biblio/100232367/162</v>
      </c>
      <c r="E1488" s="22"/>
      <c r="F1488" s="22"/>
      <c r="G1488" s="22"/>
    </row>
    <row r="1489" spans="1:7" x14ac:dyDescent="0.15">
      <c r="A1489" s="19" t="s">
        <v>6767</v>
      </c>
      <c r="B1489" s="25" t="s">
        <v>7413</v>
      </c>
      <c r="C1489" s="22"/>
      <c r="D1489" s="26" t="str">
        <f t="shared" ref="D1489:D1494" si="103">HYPERLINK("https://kokusho.nijl.ac.jp/biblio/100232367/163")</f>
        <v>https://kokusho.nijl.ac.jp/biblio/100232367/163</v>
      </c>
      <c r="E1489" s="22"/>
      <c r="F1489" s="22"/>
      <c r="G1489" s="22"/>
    </row>
    <row r="1490" spans="1:7" x14ac:dyDescent="0.15">
      <c r="A1490" s="19" t="s">
        <v>6767</v>
      </c>
      <c r="B1490" s="25" t="s">
        <v>7414</v>
      </c>
      <c r="C1490" s="22"/>
      <c r="D1490" s="26" t="str">
        <f t="shared" si="103"/>
        <v>https://kokusho.nijl.ac.jp/biblio/100232367/163</v>
      </c>
      <c r="E1490" s="22"/>
      <c r="F1490" s="22"/>
      <c r="G1490" s="22"/>
    </row>
    <row r="1491" spans="1:7" x14ac:dyDescent="0.15">
      <c r="A1491" s="19" t="s">
        <v>6767</v>
      </c>
      <c r="B1491" s="25" t="s">
        <v>7415</v>
      </c>
      <c r="C1491" s="22"/>
      <c r="D1491" s="26" t="str">
        <f t="shared" si="103"/>
        <v>https://kokusho.nijl.ac.jp/biblio/100232367/163</v>
      </c>
      <c r="E1491" s="22"/>
      <c r="F1491" s="22"/>
      <c r="G1491" s="22"/>
    </row>
    <row r="1492" spans="1:7" x14ac:dyDescent="0.15">
      <c r="A1492" s="19" t="s">
        <v>6767</v>
      </c>
      <c r="B1492" s="25" t="s">
        <v>7416</v>
      </c>
      <c r="C1492" s="22"/>
      <c r="D1492" s="26" t="str">
        <f t="shared" si="103"/>
        <v>https://kokusho.nijl.ac.jp/biblio/100232367/163</v>
      </c>
      <c r="E1492" s="22"/>
      <c r="F1492" s="22"/>
      <c r="G1492" s="22"/>
    </row>
    <row r="1493" spans="1:7" x14ac:dyDescent="0.15">
      <c r="A1493" s="19" t="s">
        <v>6767</v>
      </c>
      <c r="B1493" s="25" t="s">
        <v>7417</v>
      </c>
      <c r="C1493" s="22"/>
      <c r="D1493" s="26" t="str">
        <f t="shared" si="103"/>
        <v>https://kokusho.nijl.ac.jp/biblio/100232367/163</v>
      </c>
      <c r="E1493" s="22"/>
      <c r="F1493" s="22"/>
      <c r="G1493" s="22"/>
    </row>
    <row r="1494" spans="1:7" x14ac:dyDescent="0.15">
      <c r="A1494" s="19" t="s">
        <v>6767</v>
      </c>
      <c r="B1494" s="25" t="s">
        <v>7418</v>
      </c>
      <c r="C1494" s="22"/>
      <c r="D1494" s="26" t="str">
        <f t="shared" si="103"/>
        <v>https://kokusho.nijl.ac.jp/biblio/100232367/163</v>
      </c>
      <c r="E1494" s="22"/>
      <c r="F1494" s="22"/>
      <c r="G1494" s="22"/>
    </row>
    <row r="1495" spans="1:7" x14ac:dyDescent="0.15">
      <c r="A1495" s="19" t="s">
        <v>6767</v>
      </c>
      <c r="B1495" s="25" t="s">
        <v>7419</v>
      </c>
      <c r="C1495" s="22"/>
      <c r="D1495" s="26" t="str">
        <f t="shared" ref="D1495:D1502" si="104">HYPERLINK("https://kokusho.nijl.ac.jp/biblio/100232367/164")</f>
        <v>https://kokusho.nijl.ac.jp/biblio/100232367/164</v>
      </c>
      <c r="E1495" s="22"/>
      <c r="F1495" s="22"/>
      <c r="G1495" s="22"/>
    </row>
    <row r="1496" spans="1:7" x14ac:dyDescent="0.15">
      <c r="A1496" s="19" t="s">
        <v>6767</v>
      </c>
      <c r="B1496" s="25" t="s">
        <v>7420</v>
      </c>
      <c r="C1496" s="22"/>
      <c r="D1496" s="26" t="str">
        <f t="shared" si="104"/>
        <v>https://kokusho.nijl.ac.jp/biblio/100232367/164</v>
      </c>
      <c r="E1496" s="22"/>
      <c r="F1496" s="22"/>
      <c r="G1496" s="22"/>
    </row>
    <row r="1497" spans="1:7" x14ac:dyDescent="0.15">
      <c r="A1497" s="19" t="s">
        <v>6767</v>
      </c>
      <c r="B1497" s="25" t="s">
        <v>7421</v>
      </c>
      <c r="C1497" s="22"/>
      <c r="D1497" s="26" t="str">
        <f t="shared" si="104"/>
        <v>https://kokusho.nijl.ac.jp/biblio/100232367/164</v>
      </c>
      <c r="E1497" s="22"/>
      <c r="F1497" s="22"/>
      <c r="G1497" s="22"/>
    </row>
    <row r="1498" spans="1:7" x14ac:dyDescent="0.15">
      <c r="A1498" s="19" t="s">
        <v>6767</v>
      </c>
      <c r="B1498" s="25" t="s">
        <v>7422</v>
      </c>
      <c r="C1498" s="22"/>
      <c r="D1498" s="26" t="str">
        <f t="shared" si="104"/>
        <v>https://kokusho.nijl.ac.jp/biblio/100232367/164</v>
      </c>
      <c r="E1498" s="22"/>
      <c r="F1498" s="22"/>
      <c r="G1498" s="22"/>
    </row>
    <row r="1499" spans="1:7" x14ac:dyDescent="0.15">
      <c r="A1499" s="19" t="s">
        <v>6767</v>
      </c>
      <c r="B1499" s="25" t="s">
        <v>7423</v>
      </c>
      <c r="C1499" s="22"/>
      <c r="D1499" s="26" t="str">
        <f t="shared" si="104"/>
        <v>https://kokusho.nijl.ac.jp/biblio/100232367/164</v>
      </c>
      <c r="E1499" s="22"/>
      <c r="F1499" s="22"/>
      <c r="G1499" s="22"/>
    </row>
    <row r="1500" spans="1:7" x14ac:dyDescent="0.15">
      <c r="A1500" s="19" t="s">
        <v>6767</v>
      </c>
      <c r="B1500" s="25" t="s">
        <v>7424</v>
      </c>
      <c r="C1500" s="22"/>
      <c r="D1500" s="26" t="str">
        <f t="shared" si="104"/>
        <v>https://kokusho.nijl.ac.jp/biblio/100232367/164</v>
      </c>
      <c r="E1500" s="22"/>
      <c r="F1500" s="22"/>
      <c r="G1500" s="22"/>
    </row>
    <row r="1501" spans="1:7" x14ac:dyDescent="0.15">
      <c r="A1501" s="19" t="s">
        <v>6767</v>
      </c>
      <c r="B1501" s="25" t="s">
        <v>7425</v>
      </c>
      <c r="C1501" s="22"/>
      <c r="D1501" s="26" t="str">
        <f t="shared" si="104"/>
        <v>https://kokusho.nijl.ac.jp/biblio/100232367/164</v>
      </c>
      <c r="E1501" s="22"/>
      <c r="F1501" s="22"/>
      <c r="G1501" s="22"/>
    </row>
    <row r="1502" spans="1:7" x14ac:dyDescent="0.15">
      <c r="A1502" s="19" t="s">
        <v>6767</v>
      </c>
      <c r="B1502" s="25" t="s">
        <v>7426</v>
      </c>
      <c r="C1502" s="22"/>
      <c r="D1502" s="26" t="str">
        <f t="shared" si="104"/>
        <v>https://kokusho.nijl.ac.jp/biblio/100232367/164</v>
      </c>
      <c r="E1502" s="22"/>
      <c r="F1502" s="22"/>
      <c r="G1502" s="22"/>
    </row>
    <row r="1503" spans="1:7" x14ac:dyDescent="0.15">
      <c r="A1503" s="19" t="s">
        <v>6767</v>
      </c>
      <c r="B1503" s="25" t="s">
        <v>7427</v>
      </c>
      <c r="C1503" s="22"/>
      <c r="D1503" s="26" t="str">
        <f t="shared" ref="D1503:D1512" si="105">HYPERLINK("https://kokusho.nijl.ac.jp/biblio/100232367/165")</f>
        <v>https://kokusho.nijl.ac.jp/biblio/100232367/165</v>
      </c>
      <c r="E1503" s="22"/>
      <c r="F1503" s="22"/>
      <c r="G1503" s="22"/>
    </row>
    <row r="1504" spans="1:7" x14ac:dyDescent="0.15">
      <c r="A1504" s="19" t="s">
        <v>6767</v>
      </c>
      <c r="B1504" s="25" t="s">
        <v>7428</v>
      </c>
      <c r="C1504" s="22"/>
      <c r="D1504" s="26" t="str">
        <f t="shared" si="105"/>
        <v>https://kokusho.nijl.ac.jp/biblio/100232367/165</v>
      </c>
      <c r="E1504" s="22"/>
      <c r="F1504" s="22"/>
      <c r="G1504" s="22"/>
    </row>
    <row r="1505" spans="1:7" x14ac:dyDescent="0.15">
      <c r="A1505" s="19" t="s">
        <v>6767</v>
      </c>
      <c r="B1505" s="25" t="s">
        <v>7429</v>
      </c>
      <c r="C1505" s="22"/>
      <c r="D1505" s="26" t="str">
        <f t="shared" si="105"/>
        <v>https://kokusho.nijl.ac.jp/biblio/100232367/165</v>
      </c>
      <c r="E1505" s="22"/>
      <c r="F1505" s="22"/>
      <c r="G1505" s="22"/>
    </row>
    <row r="1506" spans="1:7" x14ac:dyDescent="0.15">
      <c r="A1506" s="19" t="s">
        <v>6767</v>
      </c>
      <c r="B1506" s="25" t="s">
        <v>7430</v>
      </c>
      <c r="C1506" s="22"/>
      <c r="D1506" s="26" t="str">
        <f t="shared" si="105"/>
        <v>https://kokusho.nijl.ac.jp/biblio/100232367/165</v>
      </c>
      <c r="E1506" s="22"/>
      <c r="F1506" s="22"/>
      <c r="G1506" s="22"/>
    </row>
    <row r="1507" spans="1:7" x14ac:dyDescent="0.15">
      <c r="A1507" s="19" t="s">
        <v>6767</v>
      </c>
      <c r="B1507" s="25" t="s">
        <v>6163</v>
      </c>
      <c r="C1507" s="22"/>
      <c r="D1507" s="26" t="str">
        <f t="shared" si="105"/>
        <v>https://kokusho.nijl.ac.jp/biblio/100232367/165</v>
      </c>
      <c r="E1507" s="22"/>
      <c r="F1507" s="22"/>
      <c r="G1507" s="22"/>
    </row>
    <row r="1508" spans="1:7" x14ac:dyDescent="0.15">
      <c r="A1508" s="19" t="s">
        <v>6767</v>
      </c>
      <c r="B1508" s="25" t="s">
        <v>7431</v>
      </c>
      <c r="C1508" s="22"/>
      <c r="D1508" s="26" t="str">
        <f t="shared" si="105"/>
        <v>https://kokusho.nijl.ac.jp/biblio/100232367/165</v>
      </c>
      <c r="E1508" s="22"/>
      <c r="F1508" s="22"/>
      <c r="G1508" s="22"/>
    </row>
    <row r="1509" spans="1:7" x14ac:dyDescent="0.15">
      <c r="A1509" s="19" t="s">
        <v>6767</v>
      </c>
      <c r="B1509" s="25" t="s">
        <v>7432</v>
      </c>
      <c r="C1509" s="22"/>
      <c r="D1509" s="26" t="str">
        <f t="shared" si="105"/>
        <v>https://kokusho.nijl.ac.jp/biblio/100232367/165</v>
      </c>
      <c r="E1509" s="22"/>
      <c r="F1509" s="22"/>
      <c r="G1509" s="22"/>
    </row>
    <row r="1510" spans="1:7" x14ac:dyDescent="0.15">
      <c r="A1510" s="19" t="s">
        <v>6767</v>
      </c>
      <c r="B1510" s="25" t="s">
        <v>6189</v>
      </c>
      <c r="C1510" s="22"/>
      <c r="D1510" s="26" t="str">
        <f t="shared" si="105"/>
        <v>https://kokusho.nijl.ac.jp/biblio/100232367/165</v>
      </c>
      <c r="E1510" s="22"/>
      <c r="F1510" s="22"/>
      <c r="G1510" s="22"/>
    </row>
    <row r="1511" spans="1:7" x14ac:dyDescent="0.15">
      <c r="A1511" s="19" t="s">
        <v>6767</v>
      </c>
      <c r="B1511" s="25" t="s">
        <v>7433</v>
      </c>
      <c r="C1511" s="22"/>
      <c r="D1511" s="26" t="str">
        <f t="shared" si="105"/>
        <v>https://kokusho.nijl.ac.jp/biblio/100232367/165</v>
      </c>
      <c r="E1511" s="22"/>
      <c r="F1511" s="22"/>
      <c r="G1511" s="22"/>
    </row>
    <row r="1512" spans="1:7" x14ac:dyDescent="0.15">
      <c r="A1512" s="19" t="s">
        <v>6767</v>
      </c>
      <c r="B1512" s="25" t="s">
        <v>7434</v>
      </c>
      <c r="C1512" s="22"/>
      <c r="D1512" s="26" t="str">
        <f t="shared" si="105"/>
        <v>https://kokusho.nijl.ac.jp/biblio/100232367/165</v>
      </c>
      <c r="E1512" s="22"/>
      <c r="F1512" s="22"/>
      <c r="G1512" s="22"/>
    </row>
    <row r="1513" spans="1:7" x14ac:dyDescent="0.15">
      <c r="A1513" s="19" t="s">
        <v>6767</v>
      </c>
      <c r="B1513" s="25" t="s">
        <v>7435</v>
      </c>
      <c r="C1513" s="22"/>
      <c r="D1513" s="26" t="str">
        <f>HYPERLINK("https://kokusho.nijl.ac.jp/biblio/100232367/166")</f>
        <v>https://kokusho.nijl.ac.jp/biblio/100232367/166</v>
      </c>
      <c r="E1513" s="22"/>
      <c r="F1513" s="22"/>
      <c r="G1513" s="22"/>
    </row>
    <row r="1514" spans="1:7" x14ac:dyDescent="0.15">
      <c r="A1514" s="19" t="s">
        <v>6767</v>
      </c>
      <c r="B1514" s="25" t="s">
        <v>7436</v>
      </c>
      <c r="C1514" s="22"/>
      <c r="D1514" s="26" t="str">
        <f>HYPERLINK("https://kokusho.nijl.ac.jp/biblio/100232367/166")</f>
        <v>https://kokusho.nijl.ac.jp/biblio/100232367/166</v>
      </c>
      <c r="E1514" s="22"/>
      <c r="F1514" s="22"/>
      <c r="G1514" s="22"/>
    </row>
    <row r="1515" spans="1:7" x14ac:dyDescent="0.15">
      <c r="A1515" s="19" t="s">
        <v>6767</v>
      </c>
      <c r="B1515" s="25" t="s">
        <v>7437</v>
      </c>
      <c r="C1515" s="22"/>
      <c r="D1515" s="26" t="str">
        <f t="shared" ref="D1515:D1524" si="106">HYPERLINK("https://kokusho.nijl.ac.jp/biblio/100232367/167")</f>
        <v>https://kokusho.nijl.ac.jp/biblio/100232367/167</v>
      </c>
      <c r="E1515" s="22"/>
      <c r="F1515" s="22"/>
      <c r="G1515" s="22"/>
    </row>
    <row r="1516" spans="1:7" x14ac:dyDescent="0.15">
      <c r="A1516" s="19" t="s">
        <v>6767</v>
      </c>
      <c r="B1516" s="25" t="s">
        <v>7438</v>
      </c>
      <c r="C1516" s="22"/>
      <c r="D1516" s="26" t="str">
        <f t="shared" si="106"/>
        <v>https://kokusho.nijl.ac.jp/biblio/100232367/167</v>
      </c>
      <c r="E1516" s="22"/>
      <c r="F1516" s="22"/>
      <c r="G1516" s="22"/>
    </row>
    <row r="1517" spans="1:7" x14ac:dyDescent="0.15">
      <c r="A1517" s="19" t="s">
        <v>6767</v>
      </c>
      <c r="B1517" s="25" t="s">
        <v>7439</v>
      </c>
      <c r="C1517" s="22"/>
      <c r="D1517" s="26" t="str">
        <f t="shared" si="106"/>
        <v>https://kokusho.nijl.ac.jp/biblio/100232367/167</v>
      </c>
      <c r="E1517" s="22"/>
      <c r="F1517" s="22"/>
      <c r="G1517" s="22"/>
    </row>
    <row r="1518" spans="1:7" x14ac:dyDescent="0.15">
      <c r="A1518" s="19" t="s">
        <v>6767</v>
      </c>
      <c r="B1518" s="25" t="s">
        <v>7440</v>
      </c>
      <c r="C1518" s="22"/>
      <c r="D1518" s="26" t="str">
        <f t="shared" si="106"/>
        <v>https://kokusho.nijl.ac.jp/biblio/100232367/167</v>
      </c>
      <c r="E1518" s="22"/>
      <c r="F1518" s="22"/>
      <c r="G1518" s="22"/>
    </row>
    <row r="1519" spans="1:7" x14ac:dyDescent="0.15">
      <c r="A1519" s="19" t="s">
        <v>6767</v>
      </c>
      <c r="B1519" s="25" t="s">
        <v>7441</v>
      </c>
      <c r="C1519" s="22"/>
      <c r="D1519" s="26" t="str">
        <f t="shared" si="106"/>
        <v>https://kokusho.nijl.ac.jp/biblio/100232367/167</v>
      </c>
      <c r="E1519" s="22"/>
      <c r="F1519" s="22"/>
      <c r="G1519" s="22"/>
    </row>
    <row r="1520" spans="1:7" x14ac:dyDescent="0.15">
      <c r="A1520" s="19" t="s">
        <v>6767</v>
      </c>
      <c r="B1520" s="25" t="s">
        <v>7442</v>
      </c>
      <c r="C1520" s="22"/>
      <c r="D1520" s="26" t="str">
        <f t="shared" si="106"/>
        <v>https://kokusho.nijl.ac.jp/biblio/100232367/167</v>
      </c>
      <c r="E1520" s="22"/>
      <c r="F1520" s="22"/>
      <c r="G1520" s="22"/>
    </row>
    <row r="1521" spans="1:7" x14ac:dyDescent="0.15">
      <c r="A1521" s="19" t="s">
        <v>6767</v>
      </c>
      <c r="B1521" s="25" t="s">
        <v>7443</v>
      </c>
      <c r="C1521" s="22"/>
      <c r="D1521" s="26" t="str">
        <f t="shared" si="106"/>
        <v>https://kokusho.nijl.ac.jp/biblio/100232367/167</v>
      </c>
      <c r="E1521" s="22"/>
      <c r="F1521" s="22"/>
      <c r="G1521" s="22"/>
    </row>
    <row r="1522" spans="1:7" x14ac:dyDescent="0.15">
      <c r="A1522" s="19" t="s">
        <v>6767</v>
      </c>
      <c r="B1522" s="25" t="s">
        <v>7444</v>
      </c>
      <c r="C1522" s="22"/>
      <c r="D1522" s="26" t="str">
        <f t="shared" si="106"/>
        <v>https://kokusho.nijl.ac.jp/biblio/100232367/167</v>
      </c>
      <c r="E1522" s="22"/>
      <c r="F1522" s="22"/>
      <c r="G1522" s="22"/>
    </row>
    <row r="1523" spans="1:7" x14ac:dyDescent="0.15">
      <c r="A1523" s="19" t="s">
        <v>6767</v>
      </c>
      <c r="B1523" s="25" t="s">
        <v>7445</v>
      </c>
      <c r="C1523" s="22"/>
      <c r="D1523" s="26" t="str">
        <f t="shared" si="106"/>
        <v>https://kokusho.nijl.ac.jp/biblio/100232367/167</v>
      </c>
      <c r="E1523" s="22"/>
      <c r="F1523" s="22"/>
      <c r="G1523" s="22"/>
    </row>
    <row r="1524" spans="1:7" x14ac:dyDescent="0.15">
      <c r="A1524" s="19" t="s">
        <v>6767</v>
      </c>
      <c r="B1524" s="25" t="s">
        <v>7446</v>
      </c>
      <c r="C1524" s="22"/>
      <c r="D1524" s="26" t="str">
        <f t="shared" si="106"/>
        <v>https://kokusho.nijl.ac.jp/biblio/100232367/167</v>
      </c>
      <c r="E1524" s="22"/>
      <c r="F1524" s="22"/>
      <c r="G1524" s="22"/>
    </row>
    <row r="1525" spans="1:7" x14ac:dyDescent="0.15">
      <c r="A1525" s="19" t="s">
        <v>6767</v>
      </c>
      <c r="B1525" s="25" t="s">
        <v>7447</v>
      </c>
      <c r="C1525" s="22"/>
      <c r="D1525" s="26" t="str">
        <f>HYPERLINK("https://kokusho.nijl.ac.jp/biblio/100232367/168")</f>
        <v>https://kokusho.nijl.ac.jp/biblio/100232367/168</v>
      </c>
      <c r="E1525" s="22"/>
      <c r="F1525" s="22"/>
      <c r="G1525" s="22"/>
    </row>
    <row r="1526" spans="1:7" x14ac:dyDescent="0.15">
      <c r="A1526" s="19" t="s">
        <v>6767</v>
      </c>
      <c r="B1526" s="25" t="s">
        <v>7448</v>
      </c>
      <c r="C1526" s="22"/>
      <c r="D1526" s="26" t="str">
        <f>HYPERLINK("https://kokusho.nijl.ac.jp/biblio/100232367/168")</f>
        <v>https://kokusho.nijl.ac.jp/biblio/100232367/168</v>
      </c>
      <c r="E1526" s="22"/>
      <c r="F1526" s="22"/>
      <c r="G1526" s="22"/>
    </row>
    <row r="1527" spans="1:7" x14ac:dyDescent="0.15">
      <c r="A1527" s="19" t="s">
        <v>6767</v>
      </c>
      <c r="B1527" s="25" t="s">
        <v>7449</v>
      </c>
      <c r="C1527" s="22"/>
      <c r="D1527" s="26" t="str">
        <f>HYPERLINK("https://kokusho.nijl.ac.jp/biblio/100232367/168")</f>
        <v>https://kokusho.nijl.ac.jp/biblio/100232367/168</v>
      </c>
      <c r="E1527" s="22"/>
      <c r="F1527" s="22"/>
      <c r="G1527" s="22"/>
    </row>
    <row r="1528" spans="1:7" x14ac:dyDescent="0.15">
      <c r="A1528" s="19" t="s">
        <v>6767</v>
      </c>
      <c r="B1528" s="25" t="s">
        <v>7450</v>
      </c>
      <c r="C1528" s="22"/>
      <c r="D1528" s="26" t="str">
        <f>HYPERLINK("https://kokusho.nijl.ac.jp/biblio/100232367/168")</f>
        <v>https://kokusho.nijl.ac.jp/biblio/100232367/168</v>
      </c>
      <c r="E1528" s="22"/>
      <c r="F1528" s="22"/>
      <c r="G1528" s="22"/>
    </row>
    <row r="1529" spans="1:7" x14ac:dyDescent="0.15">
      <c r="A1529" s="19" t="s">
        <v>6767</v>
      </c>
      <c r="B1529" s="25" t="s">
        <v>7451</v>
      </c>
      <c r="C1529" s="22"/>
      <c r="D1529" s="26" t="str">
        <f>HYPERLINK("https://kokusho.nijl.ac.jp/biblio/100232367/168")</f>
        <v>https://kokusho.nijl.ac.jp/biblio/100232367/168</v>
      </c>
      <c r="E1529" s="22"/>
      <c r="F1529" s="22"/>
      <c r="G1529" s="22"/>
    </row>
    <row r="1530" spans="1:7" x14ac:dyDescent="0.15">
      <c r="A1530" s="19" t="s">
        <v>6767</v>
      </c>
      <c r="B1530" s="25" t="s">
        <v>7452</v>
      </c>
      <c r="C1530" s="22"/>
      <c r="D1530" s="26" t="str">
        <f t="shared" ref="D1530:D1537" si="107">HYPERLINK("https://kokusho.nijl.ac.jp/biblio/100232367/169")</f>
        <v>https://kokusho.nijl.ac.jp/biblio/100232367/169</v>
      </c>
      <c r="E1530" s="22"/>
      <c r="F1530" s="22"/>
      <c r="G1530" s="22"/>
    </row>
    <row r="1531" spans="1:7" x14ac:dyDescent="0.15">
      <c r="A1531" s="19" t="s">
        <v>6767</v>
      </c>
      <c r="B1531" s="25" t="s">
        <v>7453</v>
      </c>
      <c r="C1531" s="22"/>
      <c r="D1531" s="26" t="str">
        <f t="shared" si="107"/>
        <v>https://kokusho.nijl.ac.jp/biblio/100232367/169</v>
      </c>
      <c r="E1531" s="22"/>
      <c r="F1531" s="22"/>
      <c r="G1531" s="22"/>
    </row>
    <row r="1532" spans="1:7" x14ac:dyDescent="0.15">
      <c r="A1532" s="19" t="s">
        <v>6767</v>
      </c>
      <c r="B1532" s="25" t="s">
        <v>7454</v>
      </c>
      <c r="C1532" s="22"/>
      <c r="D1532" s="26" t="str">
        <f t="shared" si="107"/>
        <v>https://kokusho.nijl.ac.jp/biblio/100232367/169</v>
      </c>
      <c r="E1532" s="22"/>
      <c r="F1532" s="22"/>
      <c r="G1532" s="22"/>
    </row>
    <row r="1533" spans="1:7" x14ac:dyDescent="0.15">
      <c r="A1533" s="19" t="s">
        <v>6767</v>
      </c>
      <c r="B1533" s="25" t="s">
        <v>7455</v>
      </c>
      <c r="C1533" s="22"/>
      <c r="D1533" s="26" t="str">
        <f t="shared" si="107"/>
        <v>https://kokusho.nijl.ac.jp/biblio/100232367/169</v>
      </c>
      <c r="E1533" s="22"/>
      <c r="F1533" s="22"/>
      <c r="G1533" s="22"/>
    </row>
    <row r="1534" spans="1:7" x14ac:dyDescent="0.15">
      <c r="A1534" s="19" t="s">
        <v>6767</v>
      </c>
      <c r="B1534" s="25" t="s">
        <v>7456</v>
      </c>
      <c r="C1534" s="22"/>
      <c r="D1534" s="26" t="str">
        <f t="shared" si="107"/>
        <v>https://kokusho.nijl.ac.jp/biblio/100232367/169</v>
      </c>
      <c r="E1534" s="22"/>
      <c r="F1534" s="22"/>
      <c r="G1534" s="22"/>
    </row>
    <row r="1535" spans="1:7" x14ac:dyDescent="0.15">
      <c r="A1535" s="19" t="s">
        <v>6767</v>
      </c>
      <c r="B1535" s="25" t="s">
        <v>7457</v>
      </c>
      <c r="C1535" s="22"/>
      <c r="D1535" s="26" t="str">
        <f t="shared" si="107"/>
        <v>https://kokusho.nijl.ac.jp/biblio/100232367/169</v>
      </c>
      <c r="E1535" s="22"/>
      <c r="F1535" s="22"/>
      <c r="G1535" s="22"/>
    </row>
    <row r="1536" spans="1:7" x14ac:dyDescent="0.15">
      <c r="A1536" s="19" t="s">
        <v>6767</v>
      </c>
      <c r="B1536" s="25" t="s">
        <v>6186</v>
      </c>
      <c r="C1536" s="22"/>
      <c r="D1536" s="26" t="str">
        <f t="shared" si="107"/>
        <v>https://kokusho.nijl.ac.jp/biblio/100232367/169</v>
      </c>
      <c r="E1536" s="22"/>
      <c r="F1536" s="22"/>
      <c r="G1536" s="22"/>
    </row>
    <row r="1537" spans="1:7" x14ac:dyDescent="0.15">
      <c r="A1537" s="19" t="s">
        <v>6767</v>
      </c>
      <c r="B1537" s="25" t="s">
        <v>7458</v>
      </c>
      <c r="C1537" s="22"/>
      <c r="D1537" s="26" t="str">
        <f t="shared" si="107"/>
        <v>https://kokusho.nijl.ac.jp/biblio/100232367/169</v>
      </c>
      <c r="E1537" s="22"/>
      <c r="F1537" s="22"/>
      <c r="G1537" s="22"/>
    </row>
    <row r="1538" spans="1:7" ht="40.5" x14ac:dyDescent="0.15">
      <c r="A1538" s="19" t="s">
        <v>6767</v>
      </c>
      <c r="B1538" s="25" t="s">
        <v>7459</v>
      </c>
      <c r="C1538" s="22"/>
      <c r="D1538" s="26" t="str">
        <f t="shared" ref="D1538:D1544" si="108">HYPERLINK("https://kokusho.nijl.ac.jp/biblio/100232367/170")</f>
        <v>https://kokusho.nijl.ac.jp/biblio/100232367/170</v>
      </c>
      <c r="E1538" s="22"/>
      <c r="F1538" s="22"/>
      <c r="G1538" s="22"/>
    </row>
    <row r="1539" spans="1:7" x14ac:dyDescent="0.15">
      <c r="A1539" s="19" t="s">
        <v>6767</v>
      </c>
      <c r="B1539" s="25" t="s">
        <v>7460</v>
      </c>
      <c r="C1539" s="22"/>
      <c r="D1539" s="26" t="str">
        <f t="shared" si="108"/>
        <v>https://kokusho.nijl.ac.jp/biblio/100232367/170</v>
      </c>
      <c r="E1539" s="22"/>
      <c r="F1539" s="22"/>
      <c r="G1539" s="22"/>
    </row>
    <row r="1540" spans="1:7" x14ac:dyDescent="0.15">
      <c r="A1540" s="19" t="s">
        <v>6767</v>
      </c>
      <c r="B1540" s="25" t="s">
        <v>7461</v>
      </c>
      <c r="C1540" s="22"/>
      <c r="D1540" s="26" t="str">
        <f t="shared" si="108"/>
        <v>https://kokusho.nijl.ac.jp/biblio/100232367/170</v>
      </c>
      <c r="E1540" s="22"/>
      <c r="F1540" s="22"/>
      <c r="G1540" s="22"/>
    </row>
    <row r="1541" spans="1:7" x14ac:dyDescent="0.15">
      <c r="A1541" s="19" t="s">
        <v>6767</v>
      </c>
      <c r="B1541" s="25" t="s">
        <v>7462</v>
      </c>
      <c r="C1541" s="22"/>
      <c r="D1541" s="26" t="str">
        <f t="shared" si="108"/>
        <v>https://kokusho.nijl.ac.jp/biblio/100232367/170</v>
      </c>
      <c r="E1541" s="22"/>
      <c r="F1541" s="22"/>
      <c r="G1541" s="22"/>
    </row>
    <row r="1542" spans="1:7" ht="40.5" x14ac:dyDescent="0.15">
      <c r="A1542" s="19" t="s">
        <v>6767</v>
      </c>
      <c r="B1542" s="25" t="s">
        <v>7463</v>
      </c>
      <c r="C1542" s="22"/>
      <c r="D1542" s="26" t="str">
        <f t="shared" si="108"/>
        <v>https://kokusho.nijl.ac.jp/biblio/100232367/170</v>
      </c>
      <c r="E1542" s="22"/>
      <c r="F1542" s="22"/>
      <c r="G1542" s="22"/>
    </row>
    <row r="1543" spans="1:7" x14ac:dyDescent="0.15">
      <c r="A1543" s="19" t="s">
        <v>6767</v>
      </c>
      <c r="B1543" s="25" t="s">
        <v>6262</v>
      </c>
      <c r="C1543" s="22"/>
      <c r="D1543" s="26" t="str">
        <f t="shared" si="108"/>
        <v>https://kokusho.nijl.ac.jp/biblio/100232367/170</v>
      </c>
      <c r="E1543" s="22"/>
      <c r="F1543" s="22"/>
      <c r="G1543" s="22"/>
    </row>
    <row r="1544" spans="1:7" x14ac:dyDescent="0.15">
      <c r="A1544" s="19" t="s">
        <v>6767</v>
      </c>
      <c r="B1544" s="25" t="s">
        <v>7464</v>
      </c>
      <c r="C1544" s="22"/>
      <c r="D1544" s="26" t="str">
        <f t="shared" si="108"/>
        <v>https://kokusho.nijl.ac.jp/biblio/100232367/170</v>
      </c>
      <c r="E1544" s="22"/>
      <c r="F1544" s="22"/>
      <c r="G1544" s="22"/>
    </row>
    <row r="1545" spans="1:7" x14ac:dyDescent="0.15">
      <c r="A1545" s="19" t="s">
        <v>6767</v>
      </c>
      <c r="B1545" s="25" t="s">
        <v>7465</v>
      </c>
      <c r="C1545" s="22"/>
      <c r="D1545" s="26" t="str">
        <f t="shared" ref="D1545:D1553" si="109">HYPERLINK("https://kokusho.nijl.ac.jp/biblio/100232367/171")</f>
        <v>https://kokusho.nijl.ac.jp/biblio/100232367/171</v>
      </c>
      <c r="E1545" s="22"/>
      <c r="F1545" s="22"/>
      <c r="G1545" s="22"/>
    </row>
    <row r="1546" spans="1:7" x14ac:dyDescent="0.15">
      <c r="A1546" s="19" t="s">
        <v>6767</v>
      </c>
      <c r="B1546" s="25" t="s">
        <v>7466</v>
      </c>
      <c r="C1546" s="22"/>
      <c r="D1546" s="26" t="str">
        <f t="shared" si="109"/>
        <v>https://kokusho.nijl.ac.jp/biblio/100232367/171</v>
      </c>
      <c r="E1546" s="22"/>
      <c r="F1546" s="22"/>
      <c r="G1546" s="22"/>
    </row>
    <row r="1547" spans="1:7" x14ac:dyDescent="0.15">
      <c r="A1547" s="19" t="s">
        <v>6767</v>
      </c>
      <c r="B1547" s="25" t="s">
        <v>7467</v>
      </c>
      <c r="C1547" s="22"/>
      <c r="D1547" s="26" t="str">
        <f t="shared" si="109"/>
        <v>https://kokusho.nijl.ac.jp/biblio/100232367/171</v>
      </c>
      <c r="E1547" s="22"/>
      <c r="F1547" s="22"/>
      <c r="G1547" s="22"/>
    </row>
    <row r="1548" spans="1:7" x14ac:dyDescent="0.15">
      <c r="A1548" s="19" t="s">
        <v>6767</v>
      </c>
      <c r="B1548" s="25" t="s">
        <v>7468</v>
      </c>
      <c r="C1548" s="22"/>
      <c r="D1548" s="26" t="str">
        <f t="shared" si="109"/>
        <v>https://kokusho.nijl.ac.jp/biblio/100232367/171</v>
      </c>
      <c r="E1548" s="22"/>
      <c r="F1548" s="22"/>
      <c r="G1548" s="22"/>
    </row>
    <row r="1549" spans="1:7" x14ac:dyDescent="0.15">
      <c r="A1549" s="19" t="s">
        <v>6767</v>
      </c>
      <c r="B1549" s="25" t="s">
        <v>7469</v>
      </c>
      <c r="C1549" s="22"/>
      <c r="D1549" s="26" t="str">
        <f t="shared" si="109"/>
        <v>https://kokusho.nijl.ac.jp/biblio/100232367/171</v>
      </c>
      <c r="E1549" s="22"/>
      <c r="F1549" s="22"/>
      <c r="G1549" s="22"/>
    </row>
    <row r="1550" spans="1:7" x14ac:dyDescent="0.15">
      <c r="A1550" s="19" t="s">
        <v>6767</v>
      </c>
      <c r="B1550" s="25" t="s">
        <v>7470</v>
      </c>
      <c r="C1550" s="22"/>
      <c r="D1550" s="26" t="str">
        <f t="shared" si="109"/>
        <v>https://kokusho.nijl.ac.jp/biblio/100232367/171</v>
      </c>
      <c r="E1550" s="22"/>
      <c r="F1550" s="22"/>
      <c r="G1550" s="22"/>
    </row>
    <row r="1551" spans="1:7" x14ac:dyDescent="0.15">
      <c r="A1551" s="19" t="s">
        <v>6767</v>
      </c>
      <c r="B1551" s="25" t="s">
        <v>7471</v>
      </c>
      <c r="C1551" s="22"/>
      <c r="D1551" s="26" t="str">
        <f t="shared" si="109"/>
        <v>https://kokusho.nijl.ac.jp/biblio/100232367/171</v>
      </c>
      <c r="E1551" s="22"/>
      <c r="F1551" s="22"/>
      <c r="G1551" s="22"/>
    </row>
    <row r="1552" spans="1:7" x14ac:dyDescent="0.15">
      <c r="A1552" s="19" t="s">
        <v>6767</v>
      </c>
      <c r="B1552" s="25" t="s">
        <v>7472</v>
      </c>
      <c r="C1552" s="22"/>
      <c r="D1552" s="26" t="str">
        <f t="shared" si="109"/>
        <v>https://kokusho.nijl.ac.jp/biblio/100232367/171</v>
      </c>
      <c r="E1552" s="22"/>
      <c r="F1552" s="22"/>
      <c r="G1552" s="22"/>
    </row>
    <row r="1553" spans="1:7" x14ac:dyDescent="0.15">
      <c r="A1553" s="19" t="s">
        <v>6767</v>
      </c>
      <c r="B1553" s="25" t="s">
        <v>7473</v>
      </c>
      <c r="C1553" s="22"/>
      <c r="D1553" s="26" t="str">
        <f t="shared" si="109"/>
        <v>https://kokusho.nijl.ac.jp/biblio/100232367/171</v>
      </c>
      <c r="E1553" s="22"/>
      <c r="F1553" s="22"/>
      <c r="G1553" s="22"/>
    </row>
    <row r="1554" spans="1:7" x14ac:dyDescent="0.15">
      <c r="A1554" s="19" t="s">
        <v>6767</v>
      </c>
      <c r="B1554" s="25" t="s">
        <v>7474</v>
      </c>
      <c r="C1554" s="22"/>
      <c r="D1554" s="26" t="str">
        <f t="shared" ref="D1554:D1561" si="110">HYPERLINK("https://kokusho.nijl.ac.jp/biblio/100232367/172")</f>
        <v>https://kokusho.nijl.ac.jp/biblio/100232367/172</v>
      </c>
      <c r="E1554" s="22"/>
      <c r="F1554" s="22"/>
      <c r="G1554" s="22"/>
    </row>
    <row r="1555" spans="1:7" x14ac:dyDescent="0.15">
      <c r="A1555" s="19" t="s">
        <v>6767</v>
      </c>
      <c r="B1555" s="25" t="s">
        <v>7475</v>
      </c>
      <c r="C1555" s="22"/>
      <c r="D1555" s="26" t="str">
        <f t="shared" si="110"/>
        <v>https://kokusho.nijl.ac.jp/biblio/100232367/172</v>
      </c>
      <c r="E1555" s="22"/>
      <c r="F1555" s="22"/>
      <c r="G1555" s="22"/>
    </row>
    <row r="1556" spans="1:7" x14ac:dyDescent="0.15">
      <c r="A1556" s="19" t="s">
        <v>6767</v>
      </c>
      <c r="B1556" s="25" t="s">
        <v>7476</v>
      </c>
      <c r="C1556" s="22"/>
      <c r="D1556" s="26" t="str">
        <f t="shared" si="110"/>
        <v>https://kokusho.nijl.ac.jp/biblio/100232367/172</v>
      </c>
      <c r="E1556" s="22"/>
      <c r="F1556" s="22"/>
      <c r="G1556" s="22"/>
    </row>
    <row r="1557" spans="1:7" x14ac:dyDescent="0.15">
      <c r="A1557" s="19" t="s">
        <v>6767</v>
      </c>
      <c r="B1557" s="25" t="s">
        <v>7477</v>
      </c>
      <c r="C1557" s="22"/>
      <c r="D1557" s="26" t="str">
        <f t="shared" si="110"/>
        <v>https://kokusho.nijl.ac.jp/biblio/100232367/172</v>
      </c>
      <c r="E1557" s="22"/>
      <c r="F1557" s="22"/>
      <c r="G1557" s="22"/>
    </row>
    <row r="1558" spans="1:7" x14ac:dyDescent="0.15">
      <c r="A1558" s="19" t="s">
        <v>6767</v>
      </c>
      <c r="B1558" s="25" t="s">
        <v>7478</v>
      </c>
      <c r="C1558" s="22"/>
      <c r="D1558" s="26" t="str">
        <f t="shared" si="110"/>
        <v>https://kokusho.nijl.ac.jp/biblio/100232367/172</v>
      </c>
      <c r="E1558" s="22"/>
      <c r="F1558" s="22"/>
      <c r="G1558" s="22"/>
    </row>
    <row r="1559" spans="1:7" x14ac:dyDescent="0.15">
      <c r="A1559" s="19" t="s">
        <v>6767</v>
      </c>
      <c r="B1559" s="25" t="s">
        <v>7479</v>
      </c>
      <c r="C1559" s="22"/>
      <c r="D1559" s="26" t="str">
        <f t="shared" si="110"/>
        <v>https://kokusho.nijl.ac.jp/biblio/100232367/172</v>
      </c>
      <c r="E1559" s="22"/>
      <c r="F1559" s="22"/>
      <c r="G1559" s="22"/>
    </row>
    <row r="1560" spans="1:7" x14ac:dyDescent="0.15">
      <c r="A1560" s="19" t="s">
        <v>6767</v>
      </c>
      <c r="B1560" s="25" t="s">
        <v>7480</v>
      </c>
      <c r="C1560" s="22"/>
      <c r="D1560" s="26" t="str">
        <f t="shared" si="110"/>
        <v>https://kokusho.nijl.ac.jp/biblio/100232367/172</v>
      </c>
      <c r="E1560" s="22"/>
      <c r="F1560" s="22"/>
      <c r="G1560" s="22"/>
    </row>
    <row r="1561" spans="1:7" x14ac:dyDescent="0.15">
      <c r="A1561" s="19" t="s">
        <v>6767</v>
      </c>
      <c r="B1561" s="25" t="s">
        <v>7481</v>
      </c>
      <c r="C1561" s="22"/>
      <c r="D1561" s="26" t="str">
        <f t="shared" si="110"/>
        <v>https://kokusho.nijl.ac.jp/biblio/100232367/172</v>
      </c>
      <c r="E1561" s="22"/>
      <c r="F1561" s="22"/>
      <c r="G1561" s="22"/>
    </row>
    <row r="1562" spans="1:7" x14ac:dyDescent="0.15">
      <c r="A1562" s="19" t="s">
        <v>6767</v>
      </c>
      <c r="B1562" s="25" t="s">
        <v>7482</v>
      </c>
      <c r="C1562" s="22"/>
      <c r="D1562" s="26" t="str">
        <f t="shared" ref="D1562:D1569" si="111">HYPERLINK("https://kokusho.nijl.ac.jp/biblio/100232367/173")</f>
        <v>https://kokusho.nijl.ac.jp/biblio/100232367/173</v>
      </c>
      <c r="E1562" s="22"/>
      <c r="F1562" s="22"/>
      <c r="G1562" s="22"/>
    </row>
    <row r="1563" spans="1:7" x14ac:dyDescent="0.15">
      <c r="A1563" s="19" t="s">
        <v>6767</v>
      </c>
      <c r="B1563" s="25" t="s">
        <v>7483</v>
      </c>
      <c r="C1563" s="22"/>
      <c r="D1563" s="26" t="str">
        <f t="shared" si="111"/>
        <v>https://kokusho.nijl.ac.jp/biblio/100232367/173</v>
      </c>
      <c r="E1563" s="22"/>
      <c r="F1563" s="22"/>
      <c r="G1563" s="22"/>
    </row>
    <row r="1564" spans="1:7" x14ac:dyDescent="0.15">
      <c r="A1564" s="19" t="s">
        <v>6767</v>
      </c>
      <c r="B1564" s="25" t="s">
        <v>7484</v>
      </c>
      <c r="C1564" s="22"/>
      <c r="D1564" s="26" t="str">
        <f t="shared" si="111"/>
        <v>https://kokusho.nijl.ac.jp/biblio/100232367/173</v>
      </c>
      <c r="E1564" s="22"/>
      <c r="F1564" s="22"/>
      <c r="G1564" s="22"/>
    </row>
    <row r="1565" spans="1:7" x14ac:dyDescent="0.15">
      <c r="A1565" s="19" t="s">
        <v>6767</v>
      </c>
      <c r="B1565" s="25" t="s">
        <v>7485</v>
      </c>
      <c r="C1565" s="22"/>
      <c r="D1565" s="26" t="str">
        <f t="shared" si="111"/>
        <v>https://kokusho.nijl.ac.jp/biblio/100232367/173</v>
      </c>
      <c r="E1565" s="22"/>
      <c r="F1565" s="22"/>
      <c r="G1565" s="22"/>
    </row>
    <row r="1566" spans="1:7" x14ac:dyDescent="0.15">
      <c r="A1566" s="19" t="s">
        <v>6767</v>
      </c>
      <c r="B1566" s="25" t="s">
        <v>7486</v>
      </c>
      <c r="C1566" s="22"/>
      <c r="D1566" s="26" t="str">
        <f t="shared" si="111"/>
        <v>https://kokusho.nijl.ac.jp/biblio/100232367/173</v>
      </c>
      <c r="E1566" s="22"/>
      <c r="F1566" s="22"/>
      <c r="G1566" s="22"/>
    </row>
    <row r="1567" spans="1:7" x14ac:dyDescent="0.15">
      <c r="A1567" s="19" t="s">
        <v>6767</v>
      </c>
      <c r="B1567" s="25" t="s">
        <v>7487</v>
      </c>
      <c r="C1567" s="22"/>
      <c r="D1567" s="26" t="str">
        <f t="shared" si="111"/>
        <v>https://kokusho.nijl.ac.jp/biblio/100232367/173</v>
      </c>
      <c r="E1567" s="22"/>
      <c r="F1567" s="22"/>
      <c r="G1567" s="22"/>
    </row>
    <row r="1568" spans="1:7" x14ac:dyDescent="0.15">
      <c r="A1568" s="19" t="s">
        <v>6767</v>
      </c>
      <c r="B1568" s="25" t="s">
        <v>7488</v>
      </c>
      <c r="C1568" s="22"/>
      <c r="D1568" s="26" t="str">
        <f t="shared" si="111"/>
        <v>https://kokusho.nijl.ac.jp/biblio/100232367/173</v>
      </c>
      <c r="E1568" s="22"/>
      <c r="F1568" s="22"/>
      <c r="G1568" s="22"/>
    </row>
    <row r="1569" spans="1:7" x14ac:dyDescent="0.15">
      <c r="A1569" s="19" t="s">
        <v>6767</v>
      </c>
      <c r="B1569" s="25" t="s">
        <v>7489</v>
      </c>
      <c r="C1569" s="22"/>
      <c r="D1569" s="26" t="str">
        <f t="shared" si="111"/>
        <v>https://kokusho.nijl.ac.jp/biblio/100232367/173</v>
      </c>
      <c r="E1569" s="22"/>
      <c r="F1569" s="22"/>
      <c r="G1569" s="22"/>
    </row>
    <row r="1570" spans="1:7" x14ac:dyDescent="0.15">
      <c r="A1570" s="19" t="s">
        <v>6767</v>
      </c>
      <c r="B1570" s="25" t="s">
        <v>7490</v>
      </c>
      <c r="C1570" s="22"/>
      <c r="D1570" s="26" t="str">
        <f>HYPERLINK("https://kokusho.nijl.ac.jp/biblio/100232367/174")</f>
        <v>https://kokusho.nijl.ac.jp/biblio/100232367/174</v>
      </c>
      <c r="E1570" s="22"/>
      <c r="F1570" s="22"/>
      <c r="G1570" s="22"/>
    </row>
    <row r="1571" spans="1:7" x14ac:dyDescent="0.15">
      <c r="A1571" s="19" t="s">
        <v>6767</v>
      </c>
      <c r="B1571" s="25" t="s">
        <v>7491</v>
      </c>
      <c r="C1571" s="22"/>
      <c r="D1571" s="26" t="str">
        <f>HYPERLINK("https://kokusho.nijl.ac.jp/biblio/100232367/174")</f>
        <v>https://kokusho.nijl.ac.jp/biblio/100232367/174</v>
      </c>
      <c r="E1571" s="22"/>
      <c r="F1571" s="22"/>
      <c r="G1571" s="22"/>
    </row>
    <row r="1572" spans="1:7" x14ac:dyDescent="0.15">
      <c r="A1572" s="19" t="s">
        <v>6767</v>
      </c>
      <c r="B1572" s="25" t="s">
        <v>7492</v>
      </c>
      <c r="C1572" s="22"/>
      <c r="D1572" s="26" t="str">
        <f>HYPERLINK("https://kokusho.nijl.ac.jp/biblio/100232367/174")</f>
        <v>https://kokusho.nijl.ac.jp/biblio/100232367/174</v>
      </c>
      <c r="E1572" s="22"/>
      <c r="F1572" s="22"/>
      <c r="G1572" s="22"/>
    </row>
    <row r="1573" spans="1:7" x14ac:dyDescent="0.15">
      <c r="A1573" s="19" t="s">
        <v>6767</v>
      </c>
      <c r="B1573" s="25" t="s">
        <v>7493</v>
      </c>
      <c r="C1573" s="22"/>
      <c r="D1573" s="26" t="str">
        <f>HYPERLINK("https://kokusho.nijl.ac.jp/biblio/100232367/174")</f>
        <v>https://kokusho.nijl.ac.jp/biblio/100232367/174</v>
      </c>
      <c r="E1573" s="22"/>
      <c r="F1573" s="22"/>
      <c r="G1573" s="22"/>
    </row>
    <row r="1574" spans="1:7" x14ac:dyDescent="0.15">
      <c r="A1574" s="19" t="s">
        <v>6767</v>
      </c>
      <c r="B1574" s="25" t="s">
        <v>7494</v>
      </c>
      <c r="C1574" s="22"/>
      <c r="D1574" s="26" t="str">
        <f>HYPERLINK("https://kokusho.nijl.ac.jp/biblio/100232367/174")</f>
        <v>https://kokusho.nijl.ac.jp/biblio/100232367/174</v>
      </c>
      <c r="E1574" s="22"/>
      <c r="F1574" s="22"/>
      <c r="G1574" s="22"/>
    </row>
    <row r="1575" spans="1:7" x14ac:dyDescent="0.15">
      <c r="A1575" s="19" t="s">
        <v>6767</v>
      </c>
      <c r="B1575" s="25" t="s">
        <v>7495</v>
      </c>
      <c r="C1575" s="22"/>
      <c r="D1575" s="26" t="str">
        <f>HYPERLINK("https://kokusho.nijl.ac.jp/biblio/100232367/175")</f>
        <v>https://kokusho.nijl.ac.jp/biblio/100232367/175</v>
      </c>
      <c r="E1575" s="22"/>
      <c r="F1575" s="22"/>
      <c r="G1575" s="22"/>
    </row>
    <row r="1576" spans="1:7" x14ac:dyDescent="0.15">
      <c r="A1576" s="19" t="s">
        <v>6767</v>
      </c>
      <c r="B1576" s="25" t="s">
        <v>7496</v>
      </c>
      <c r="C1576" s="22"/>
      <c r="D1576" s="26" t="str">
        <f>HYPERLINK("https://kokusho.nijl.ac.jp/biblio/100232367/175")</f>
        <v>https://kokusho.nijl.ac.jp/biblio/100232367/175</v>
      </c>
      <c r="E1576" s="22"/>
      <c r="F1576" s="22"/>
      <c r="G1576" s="22"/>
    </row>
    <row r="1577" spans="1:7" x14ac:dyDescent="0.15">
      <c r="A1577" s="19" t="s">
        <v>6767</v>
      </c>
      <c r="B1577" s="25" t="s">
        <v>7497</v>
      </c>
      <c r="C1577" s="22"/>
      <c r="D1577" s="26" t="str">
        <f>HYPERLINK("https://kokusho.nijl.ac.jp/biblio/100232367/176")</f>
        <v>https://kokusho.nijl.ac.jp/biblio/100232367/176</v>
      </c>
      <c r="E1577" s="22"/>
      <c r="F1577" s="22"/>
      <c r="G1577" s="22"/>
    </row>
    <row r="1578" spans="1:7" x14ac:dyDescent="0.15">
      <c r="A1578" s="19" t="s">
        <v>6767</v>
      </c>
      <c r="B1578" s="25" t="s">
        <v>7498</v>
      </c>
      <c r="C1578" s="22"/>
      <c r="D1578" s="26" t="str">
        <f>HYPERLINK("https://kokusho.nijl.ac.jp/biblio/100232367/180")</f>
        <v>https://kokusho.nijl.ac.jp/biblio/100232367/180</v>
      </c>
      <c r="E1578" s="22"/>
      <c r="F1578" s="22"/>
      <c r="G1578" s="22"/>
    </row>
    <row r="1579" spans="1:7" x14ac:dyDescent="0.15">
      <c r="A1579" s="19" t="s">
        <v>6767</v>
      </c>
      <c r="B1579" s="25" t="s">
        <v>6798</v>
      </c>
      <c r="C1579" s="22"/>
      <c r="D1579" s="26" t="str">
        <f>HYPERLINK("https://kokusho.nijl.ac.jp/biblio/100232367/180")</f>
        <v>https://kokusho.nijl.ac.jp/biblio/100232367/180</v>
      </c>
      <c r="E1579" s="22"/>
      <c r="F1579" s="22"/>
      <c r="G1579" s="22"/>
    </row>
    <row r="1580" spans="1:7" x14ac:dyDescent="0.15">
      <c r="A1580" s="19" t="s">
        <v>6767</v>
      </c>
      <c r="B1580" s="25" t="s">
        <v>7499</v>
      </c>
      <c r="C1580" s="22"/>
      <c r="D1580" s="26" t="str">
        <f>HYPERLINK("https://kokusho.nijl.ac.jp/biblio/100232367/180")</f>
        <v>https://kokusho.nijl.ac.jp/biblio/100232367/180</v>
      </c>
      <c r="E1580" s="22"/>
      <c r="F1580" s="22"/>
      <c r="G1580" s="22"/>
    </row>
    <row r="1581" spans="1:7" x14ac:dyDescent="0.15">
      <c r="A1581" s="19" t="s">
        <v>6767</v>
      </c>
      <c r="B1581" s="25" t="s">
        <v>7500</v>
      </c>
      <c r="C1581" s="22"/>
      <c r="D1581" s="26" t="str">
        <f t="shared" ref="D1581:D1587" si="112">HYPERLINK("https://kokusho.nijl.ac.jp/biblio/100232367/181")</f>
        <v>https://kokusho.nijl.ac.jp/biblio/100232367/181</v>
      </c>
      <c r="E1581" s="22"/>
      <c r="F1581" s="22"/>
      <c r="G1581" s="22"/>
    </row>
    <row r="1582" spans="1:7" x14ac:dyDescent="0.15">
      <c r="A1582" s="19" t="s">
        <v>6767</v>
      </c>
      <c r="B1582" s="25" t="s">
        <v>7501</v>
      </c>
      <c r="C1582" s="22"/>
      <c r="D1582" s="26" t="str">
        <f t="shared" si="112"/>
        <v>https://kokusho.nijl.ac.jp/biblio/100232367/181</v>
      </c>
      <c r="E1582" s="22"/>
      <c r="F1582" s="22"/>
      <c r="G1582" s="22"/>
    </row>
    <row r="1583" spans="1:7" x14ac:dyDescent="0.15">
      <c r="A1583" s="19" t="s">
        <v>6767</v>
      </c>
      <c r="B1583" s="25" t="s">
        <v>7502</v>
      </c>
      <c r="C1583" s="22"/>
      <c r="D1583" s="26" t="str">
        <f t="shared" si="112"/>
        <v>https://kokusho.nijl.ac.jp/biblio/100232367/181</v>
      </c>
      <c r="E1583" s="22"/>
      <c r="F1583" s="22"/>
      <c r="G1583" s="22"/>
    </row>
    <row r="1584" spans="1:7" x14ac:dyDescent="0.15">
      <c r="A1584" s="19" t="s">
        <v>6767</v>
      </c>
      <c r="B1584" s="25" t="s">
        <v>7503</v>
      </c>
      <c r="C1584" s="22"/>
      <c r="D1584" s="26" t="str">
        <f t="shared" si="112"/>
        <v>https://kokusho.nijl.ac.jp/biblio/100232367/181</v>
      </c>
      <c r="E1584" s="22"/>
      <c r="F1584" s="22"/>
      <c r="G1584" s="22"/>
    </row>
    <row r="1585" spans="1:7" x14ac:dyDescent="0.15">
      <c r="A1585" s="19" t="s">
        <v>6767</v>
      </c>
      <c r="B1585" s="25" t="s">
        <v>7504</v>
      </c>
      <c r="C1585" s="22"/>
      <c r="D1585" s="26" t="str">
        <f t="shared" si="112"/>
        <v>https://kokusho.nijl.ac.jp/biblio/100232367/181</v>
      </c>
      <c r="E1585" s="22"/>
      <c r="F1585" s="22"/>
      <c r="G1585" s="22"/>
    </row>
    <row r="1586" spans="1:7" x14ac:dyDescent="0.15">
      <c r="A1586" s="19" t="s">
        <v>6767</v>
      </c>
      <c r="B1586" s="25" t="s">
        <v>7505</v>
      </c>
      <c r="C1586" s="22"/>
      <c r="D1586" s="26" t="str">
        <f t="shared" si="112"/>
        <v>https://kokusho.nijl.ac.jp/biblio/100232367/181</v>
      </c>
      <c r="E1586" s="22"/>
      <c r="F1586" s="22"/>
      <c r="G1586" s="22"/>
    </row>
    <row r="1587" spans="1:7" x14ac:dyDescent="0.15">
      <c r="A1587" s="19" t="s">
        <v>6767</v>
      </c>
      <c r="B1587" s="25" t="s">
        <v>6575</v>
      </c>
      <c r="C1587" s="22"/>
      <c r="D1587" s="26" t="str">
        <f t="shared" si="112"/>
        <v>https://kokusho.nijl.ac.jp/biblio/100232367/181</v>
      </c>
      <c r="E1587" s="22"/>
      <c r="F1587" s="22"/>
      <c r="G1587" s="22"/>
    </row>
    <row r="1588" spans="1:7" x14ac:dyDescent="0.15">
      <c r="A1588" s="19" t="s">
        <v>6767</v>
      </c>
      <c r="B1588" s="25" t="s">
        <v>7506</v>
      </c>
      <c r="C1588" s="22"/>
      <c r="D1588" s="26" t="str">
        <f t="shared" ref="D1588:D1595" si="113">HYPERLINK("https://kokusho.nijl.ac.jp/biblio/100232367/182")</f>
        <v>https://kokusho.nijl.ac.jp/biblio/100232367/182</v>
      </c>
      <c r="E1588" s="22"/>
      <c r="F1588" s="22"/>
      <c r="G1588" s="22"/>
    </row>
    <row r="1589" spans="1:7" x14ac:dyDescent="0.15">
      <c r="A1589" s="19" t="s">
        <v>6767</v>
      </c>
      <c r="B1589" s="25" t="s">
        <v>7507</v>
      </c>
      <c r="C1589" s="22"/>
      <c r="D1589" s="26" t="str">
        <f t="shared" si="113"/>
        <v>https://kokusho.nijl.ac.jp/biblio/100232367/182</v>
      </c>
      <c r="E1589" s="22"/>
      <c r="F1589" s="22"/>
      <c r="G1589" s="22"/>
    </row>
    <row r="1590" spans="1:7" x14ac:dyDescent="0.15">
      <c r="A1590" s="19" t="s">
        <v>6767</v>
      </c>
      <c r="B1590" s="25" t="s">
        <v>7508</v>
      </c>
      <c r="C1590" s="22"/>
      <c r="D1590" s="26" t="str">
        <f t="shared" si="113"/>
        <v>https://kokusho.nijl.ac.jp/biblio/100232367/182</v>
      </c>
      <c r="E1590" s="22"/>
      <c r="F1590" s="22"/>
      <c r="G1590" s="22"/>
    </row>
    <row r="1591" spans="1:7" x14ac:dyDescent="0.15">
      <c r="A1591" s="19" t="s">
        <v>6767</v>
      </c>
      <c r="B1591" s="25" t="s">
        <v>7509</v>
      </c>
      <c r="C1591" s="22"/>
      <c r="D1591" s="26" t="str">
        <f t="shared" si="113"/>
        <v>https://kokusho.nijl.ac.jp/biblio/100232367/182</v>
      </c>
      <c r="E1591" s="22"/>
      <c r="F1591" s="22"/>
      <c r="G1591" s="22"/>
    </row>
    <row r="1592" spans="1:7" x14ac:dyDescent="0.15">
      <c r="A1592" s="19" t="s">
        <v>6767</v>
      </c>
      <c r="B1592" s="25" t="s">
        <v>7510</v>
      </c>
      <c r="C1592" s="22"/>
      <c r="D1592" s="26" t="str">
        <f t="shared" si="113"/>
        <v>https://kokusho.nijl.ac.jp/biblio/100232367/182</v>
      </c>
      <c r="E1592" s="22"/>
      <c r="F1592" s="22"/>
      <c r="G1592" s="22"/>
    </row>
    <row r="1593" spans="1:7" x14ac:dyDescent="0.15">
      <c r="A1593" s="19" t="s">
        <v>6767</v>
      </c>
      <c r="B1593" s="25" t="s">
        <v>7511</v>
      </c>
      <c r="C1593" s="22"/>
      <c r="D1593" s="26" t="str">
        <f t="shared" si="113"/>
        <v>https://kokusho.nijl.ac.jp/biblio/100232367/182</v>
      </c>
      <c r="E1593" s="22"/>
      <c r="F1593" s="22"/>
      <c r="G1593" s="22"/>
    </row>
    <row r="1594" spans="1:7" x14ac:dyDescent="0.15">
      <c r="A1594" s="19" t="s">
        <v>6767</v>
      </c>
      <c r="B1594" s="25" t="s">
        <v>7512</v>
      </c>
      <c r="C1594" s="22"/>
      <c r="D1594" s="26" t="str">
        <f t="shared" si="113"/>
        <v>https://kokusho.nijl.ac.jp/biblio/100232367/182</v>
      </c>
      <c r="E1594" s="22"/>
      <c r="F1594" s="22"/>
      <c r="G1594" s="22"/>
    </row>
    <row r="1595" spans="1:7" x14ac:dyDescent="0.15">
      <c r="A1595" s="19" t="s">
        <v>6767</v>
      </c>
      <c r="B1595" s="25" t="s">
        <v>7513</v>
      </c>
      <c r="C1595" s="22"/>
      <c r="D1595" s="26" t="str">
        <f t="shared" si="113"/>
        <v>https://kokusho.nijl.ac.jp/biblio/100232367/182</v>
      </c>
      <c r="E1595" s="22"/>
      <c r="F1595" s="22"/>
      <c r="G1595" s="22"/>
    </row>
    <row r="1596" spans="1:7" x14ac:dyDescent="0.15">
      <c r="A1596" s="19" t="s">
        <v>6767</v>
      </c>
      <c r="B1596" s="25" t="s">
        <v>7514</v>
      </c>
      <c r="C1596" s="22"/>
      <c r="D1596" s="26" t="str">
        <f>HYPERLINK("https://kokusho.nijl.ac.jp/biblio/100232367/183")</f>
        <v>https://kokusho.nijl.ac.jp/biblio/100232367/183</v>
      </c>
      <c r="E1596" s="22"/>
      <c r="F1596" s="22"/>
      <c r="G1596" s="22"/>
    </row>
    <row r="1597" spans="1:7" x14ac:dyDescent="0.15">
      <c r="A1597" s="19" t="s">
        <v>6767</v>
      </c>
      <c r="B1597" s="25" t="s">
        <v>7515</v>
      </c>
      <c r="C1597" s="22"/>
      <c r="D1597" s="26" t="str">
        <f t="shared" ref="D1597:D1607" si="114">HYPERLINK("https://kokusho.nijl.ac.jp/biblio/100232367/184")</f>
        <v>https://kokusho.nijl.ac.jp/biblio/100232367/184</v>
      </c>
      <c r="E1597" s="22"/>
      <c r="F1597" s="22"/>
      <c r="G1597" s="22"/>
    </row>
    <row r="1598" spans="1:7" x14ac:dyDescent="0.15">
      <c r="A1598" s="19" t="s">
        <v>6767</v>
      </c>
      <c r="B1598" s="25" t="s">
        <v>7516</v>
      </c>
      <c r="C1598" s="22"/>
      <c r="D1598" s="26" t="str">
        <f t="shared" si="114"/>
        <v>https://kokusho.nijl.ac.jp/biblio/100232367/184</v>
      </c>
      <c r="E1598" s="22"/>
      <c r="F1598" s="22"/>
      <c r="G1598" s="22"/>
    </row>
    <row r="1599" spans="1:7" x14ac:dyDescent="0.15">
      <c r="A1599" s="19" t="s">
        <v>6767</v>
      </c>
      <c r="B1599" s="25" t="s">
        <v>7517</v>
      </c>
      <c r="C1599" s="22"/>
      <c r="D1599" s="26" t="str">
        <f t="shared" si="114"/>
        <v>https://kokusho.nijl.ac.jp/biblio/100232367/184</v>
      </c>
      <c r="E1599" s="22"/>
      <c r="F1599" s="22"/>
      <c r="G1599" s="22"/>
    </row>
    <row r="1600" spans="1:7" x14ac:dyDescent="0.15">
      <c r="A1600" s="19" t="s">
        <v>6767</v>
      </c>
      <c r="B1600" s="25" t="s">
        <v>7518</v>
      </c>
      <c r="C1600" s="22"/>
      <c r="D1600" s="26" t="str">
        <f t="shared" si="114"/>
        <v>https://kokusho.nijl.ac.jp/biblio/100232367/184</v>
      </c>
      <c r="E1600" s="22"/>
      <c r="F1600" s="22"/>
      <c r="G1600" s="22"/>
    </row>
    <row r="1601" spans="1:7" x14ac:dyDescent="0.15">
      <c r="A1601" s="19" t="s">
        <v>6767</v>
      </c>
      <c r="B1601" s="25" t="s">
        <v>7519</v>
      </c>
      <c r="C1601" s="22"/>
      <c r="D1601" s="26" t="str">
        <f t="shared" si="114"/>
        <v>https://kokusho.nijl.ac.jp/biblio/100232367/184</v>
      </c>
      <c r="E1601" s="22"/>
      <c r="F1601" s="22"/>
      <c r="G1601" s="22"/>
    </row>
    <row r="1602" spans="1:7" x14ac:dyDescent="0.15">
      <c r="A1602" s="19" t="s">
        <v>6767</v>
      </c>
      <c r="B1602" s="25" t="s">
        <v>7520</v>
      </c>
      <c r="C1602" s="22"/>
      <c r="D1602" s="26" t="str">
        <f t="shared" si="114"/>
        <v>https://kokusho.nijl.ac.jp/biblio/100232367/184</v>
      </c>
      <c r="E1602" s="22"/>
      <c r="F1602" s="22"/>
      <c r="G1602" s="22"/>
    </row>
    <row r="1603" spans="1:7" x14ac:dyDescent="0.15">
      <c r="A1603" s="19" t="s">
        <v>6767</v>
      </c>
      <c r="B1603" s="25" t="s">
        <v>7521</v>
      </c>
      <c r="C1603" s="22"/>
      <c r="D1603" s="26" t="str">
        <f t="shared" si="114"/>
        <v>https://kokusho.nijl.ac.jp/biblio/100232367/184</v>
      </c>
      <c r="E1603" s="22"/>
      <c r="F1603" s="22"/>
      <c r="G1603" s="22"/>
    </row>
    <row r="1604" spans="1:7" x14ac:dyDescent="0.15">
      <c r="A1604" s="19" t="s">
        <v>6767</v>
      </c>
      <c r="B1604" s="25" t="s">
        <v>7522</v>
      </c>
      <c r="C1604" s="22"/>
      <c r="D1604" s="26" t="str">
        <f t="shared" si="114"/>
        <v>https://kokusho.nijl.ac.jp/biblio/100232367/184</v>
      </c>
      <c r="E1604" s="22"/>
      <c r="F1604" s="22"/>
      <c r="G1604" s="22"/>
    </row>
    <row r="1605" spans="1:7" x14ac:dyDescent="0.15">
      <c r="A1605" s="19" t="s">
        <v>6767</v>
      </c>
      <c r="B1605" s="25" t="s">
        <v>7523</v>
      </c>
      <c r="C1605" s="22"/>
      <c r="D1605" s="26" t="str">
        <f t="shared" si="114"/>
        <v>https://kokusho.nijl.ac.jp/biblio/100232367/184</v>
      </c>
      <c r="E1605" s="22"/>
      <c r="F1605" s="22"/>
      <c r="G1605" s="22"/>
    </row>
    <row r="1606" spans="1:7" x14ac:dyDescent="0.15">
      <c r="A1606" s="19" t="s">
        <v>6767</v>
      </c>
      <c r="B1606" s="25" t="s">
        <v>7524</v>
      </c>
      <c r="C1606" s="22"/>
      <c r="D1606" s="26" t="str">
        <f t="shared" si="114"/>
        <v>https://kokusho.nijl.ac.jp/biblio/100232367/184</v>
      </c>
      <c r="E1606" s="22"/>
      <c r="F1606" s="22"/>
      <c r="G1606" s="22"/>
    </row>
    <row r="1607" spans="1:7" x14ac:dyDescent="0.15">
      <c r="A1607" s="19" t="s">
        <v>6767</v>
      </c>
      <c r="B1607" s="25" t="s">
        <v>7525</v>
      </c>
      <c r="C1607" s="22"/>
      <c r="D1607" s="26" t="str">
        <f t="shared" si="114"/>
        <v>https://kokusho.nijl.ac.jp/biblio/100232367/184</v>
      </c>
      <c r="E1607" s="22"/>
      <c r="F1607" s="22"/>
      <c r="G1607" s="22"/>
    </row>
    <row r="1608" spans="1:7" x14ac:dyDescent="0.15">
      <c r="A1608" s="19" t="s">
        <v>6767</v>
      </c>
      <c r="B1608" s="25" t="s">
        <v>7526</v>
      </c>
      <c r="C1608" s="22"/>
      <c r="D1608" s="26" t="str">
        <f>HYPERLINK("https://kokusho.nijl.ac.jp/biblio/100232367/185")</f>
        <v>https://kokusho.nijl.ac.jp/biblio/100232367/185</v>
      </c>
      <c r="E1608" s="22"/>
      <c r="F1608" s="22"/>
      <c r="G1608" s="22"/>
    </row>
    <row r="1609" spans="1:7" x14ac:dyDescent="0.15">
      <c r="A1609" s="19" t="s">
        <v>6767</v>
      </c>
      <c r="B1609" s="25" t="s">
        <v>7527</v>
      </c>
      <c r="C1609" s="22"/>
      <c r="D1609" s="26" t="str">
        <f>HYPERLINK("https://kokusho.nijl.ac.jp/biblio/100232367/185")</f>
        <v>https://kokusho.nijl.ac.jp/biblio/100232367/185</v>
      </c>
      <c r="E1609" s="22"/>
      <c r="F1609" s="22"/>
      <c r="G1609" s="22"/>
    </row>
    <row r="1610" spans="1:7" x14ac:dyDescent="0.15">
      <c r="A1610" s="19" t="s">
        <v>6767</v>
      </c>
      <c r="B1610" s="25" t="s">
        <v>7528</v>
      </c>
      <c r="C1610" s="22"/>
      <c r="D1610" s="26" t="str">
        <f>HYPERLINK("https://kokusho.nijl.ac.jp/biblio/100232367/185")</f>
        <v>https://kokusho.nijl.ac.jp/biblio/100232367/185</v>
      </c>
      <c r="E1610" s="22"/>
      <c r="F1610" s="22"/>
      <c r="G1610" s="22"/>
    </row>
    <row r="1611" spans="1:7" x14ac:dyDescent="0.15">
      <c r="A1611" s="19" t="s">
        <v>6767</v>
      </c>
      <c r="B1611" s="25" t="s">
        <v>7529</v>
      </c>
      <c r="C1611" s="22"/>
      <c r="D1611" s="26" t="str">
        <f>HYPERLINK("https://kokusho.nijl.ac.jp/biblio/100232367/185")</f>
        <v>https://kokusho.nijl.ac.jp/biblio/100232367/185</v>
      </c>
      <c r="E1611" s="22"/>
      <c r="F1611" s="22"/>
      <c r="G1611" s="22"/>
    </row>
    <row r="1612" spans="1:7" x14ac:dyDescent="0.15">
      <c r="A1612" s="19" t="s">
        <v>6767</v>
      </c>
      <c r="B1612" s="25" t="s">
        <v>7530</v>
      </c>
      <c r="C1612" s="22"/>
      <c r="D1612" s="26" t="str">
        <f t="shared" ref="D1612:D1617" si="115">HYPERLINK("https://kokusho.nijl.ac.jp/biblio/100232367/186")</f>
        <v>https://kokusho.nijl.ac.jp/biblio/100232367/186</v>
      </c>
      <c r="E1612" s="22"/>
      <c r="F1612" s="22"/>
      <c r="G1612" s="22"/>
    </row>
    <row r="1613" spans="1:7" x14ac:dyDescent="0.15">
      <c r="A1613" s="19" t="s">
        <v>6767</v>
      </c>
      <c r="B1613" s="25" t="s">
        <v>5634</v>
      </c>
      <c r="C1613" s="22"/>
      <c r="D1613" s="26" t="str">
        <f t="shared" si="115"/>
        <v>https://kokusho.nijl.ac.jp/biblio/100232367/186</v>
      </c>
      <c r="E1613" s="22"/>
      <c r="F1613" s="22"/>
      <c r="G1613" s="22"/>
    </row>
    <row r="1614" spans="1:7" x14ac:dyDescent="0.15">
      <c r="A1614" s="19" t="s">
        <v>6767</v>
      </c>
      <c r="B1614" s="25" t="s">
        <v>7531</v>
      </c>
      <c r="C1614" s="22"/>
      <c r="D1614" s="26" t="str">
        <f t="shared" si="115"/>
        <v>https://kokusho.nijl.ac.jp/biblio/100232367/186</v>
      </c>
      <c r="E1614" s="22"/>
      <c r="F1614" s="22"/>
      <c r="G1614" s="22"/>
    </row>
    <row r="1615" spans="1:7" x14ac:dyDescent="0.15">
      <c r="A1615" s="19" t="s">
        <v>6767</v>
      </c>
      <c r="B1615" s="25" t="s">
        <v>7532</v>
      </c>
      <c r="C1615" s="22"/>
      <c r="D1615" s="26" t="str">
        <f t="shared" si="115"/>
        <v>https://kokusho.nijl.ac.jp/biblio/100232367/186</v>
      </c>
      <c r="E1615" s="22"/>
      <c r="F1615" s="22"/>
      <c r="G1615" s="22"/>
    </row>
    <row r="1616" spans="1:7" x14ac:dyDescent="0.15">
      <c r="A1616" s="19" t="s">
        <v>6767</v>
      </c>
      <c r="B1616" s="25" t="s">
        <v>7533</v>
      </c>
      <c r="C1616" s="22"/>
      <c r="D1616" s="26" t="str">
        <f t="shared" si="115"/>
        <v>https://kokusho.nijl.ac.jp/biblio/100232367/186</v>
      </c>
      <c r="E1616" s="22"/>
      <c r="F1616" s="22"/>
      <c r="G1616" s="22"/>
    </row>
    <row r="1617" spans="1:7" x14ac:dyDescent="0.15">
      <c r="A1617" s="19" t="s">
        <v>6767</v>
      </c>
      <c r="B1617" s="25" t="s">
        <v>7534</v>
      </c>
      <c r="C1617" s="22"/>
      <c r="D1617" s="26" t="str">
        <f t="shared" si="115"/>
        <v>https://kokusho.nijl.ac.jp/biblio/100232367/186</v>
      </c>
      <c r="E1617" s="22"/>
      <c r="F1617" s="22"/>
      <c r="G1617" s="22"/>
    </row>
    <row r="1618" spans="1:7" x14ac:dyDescent="0.15">
      <c r="A1618" s="19" t="s">
        <v>6767</v>
      </c>
      <c r="B1618" s="25" t="s">
        <v>7535</v>
      </c>
      <c r="C1618" s="22"/>
      <c r="D1618" s="26" t="str">
        <f t="shared" ref="D1618:D1625" si="116">HYPERLINK("https://kokusho.nijl.ac.jp/biblio/100232367/187")</f>
        <v>https://kokusho.nijl.ac.jp/biblio/100232367/187</v>
      </c>
      <c r="E1618" s="22"/>
      <c r="F1618" s="22"/>
      <c r="G1618" s="22"/>
    </row>
    <row r="1619" spans="1:7" x14ac:dyDescent="0.15">
      <c r="A1619" s="19" t="s">
        <v>6767</v>
      </c>
      <c r="B1619" s="25" t="s">
        <v>7536</v>
      </c>
      <c r="C1619" s="22"/>
      <c r="D1619" s="26" t="str">
        <f t="shared" si="116"/>
        <v>https://kokusho.nijl.ac.jp/biblio/100232367/187</v>
      </c>
      <c r="E1619" s="22"/>
      <c r="F1619" s="22"/>
      <c r="G1619" s="22"/>
    </row>
    <row r="1620" spans="1:7" x14ac:dyDescent="0.15">
      <c r="A1620" s="19" t="s">
        <v>6767</v>
      </c>
      <c r="B1620" s="25" t="s">
        <v>7537</v>
      </c>
      <c r="C1620" s="22"/>
      <c r="D1620" s="26" t="str">
        <f t="shared" si="116"/>
        <v>https://kokusho.nijl.ac.jp/biblio/100232367/187</v>
      </c>
      <c r="E1620" s="22"/>
      <c r="F1620" s="22"/>
      <c r="G1620" s="22"/>
    </row>
    <row r="1621" spans="1:7" x14ac:dyDescent="0.15">
      <c r="A1621" s="19" t="s">
        <v>6767</v>
      </c>
      <c r="B1621" s="25" t="s">
        <v>7538</v>
      </c>
      <c r="C1621" s="22"/>
      <c r="D1621" s="26" t="str">
        <f t="shared" si="116"/>
        <v>https://kokusho.nijl.ac.jp/biblio/100232367/187</v>
      </c>
      <c r="E1621" s="22"/>
      <c r="F1621" s="22"/>
      <c r="G1621" s="22"/>
    </row>
    <row r="1622" spans="1:7" x14ac:dyDescent="0.15">
      <c r="A1622" s="19" t="s">
        <v>6767</v>
      </c>
      <c r="B1622" s="25" t="s">
        <v>7539</v>
      </c>
      <c r="C1622" s="22"/>
      <c r="D1622" s="26" t="str">
        <f t="shared" si="116"/>
        <v>https://kokusho.nijl.ac.jp/biblio/100232367/187</v>
      </c>
      <c r="E1622" s="22"/>
      <c r="F1622" s="22"/>
      <c r="G1622" s="22"/>
    </row>
    <row r="1623" spans="1:7" x14ac:dyDescent="0.15">
      <c r="A1623" s="19" t="s">
        <v>6767</v>
      </c>
      <c r="B1623" s="25" t="s">
        <v>7540</v>
      </c>
      <c r="C1623" s="22"/>
      <c r="D1623" s="26" t="str">
        <f t="shared" si="116"/>
        <v>https://kokusho.nijl.ac.jp/biblio/100232367/187</v>
      </c>
      <c r="E1623" s="22"/>
      <c r="F1623" s="22"/>
      <c r="G1623" s="22"/>
    </row>
    <row r="1624" spans="1:7" x14ac:dyDescent="0.15">
      <c r="A1624" s="19" t="s">
        <v>6767</v>
      </c>
      <c r="B1624" s="25" t="s">
        <v>7541</v>
      </c>
      <c r="C1624" s="22"/>
      <c r="D1624" s="26" t="str">
        <f t="shared" si="116"/>
        <v>https://kokusho.nijl.ac.jp/biblio/100232367/187</v>
      </c>
      <c r="E1624" s="22"/>
      <c r="F1624" s="22"/>
      <c r="G1624" s="22"/>
    </row>
    <row r="1625" spans="1:7" x14ac:dyDescent="0.15">
      <c r="A1625" s="19" t="s">
        <v>6767</v>
      </c>
      <c r="B1625" s="25" t="s">
        <v>7542</v>
      </c>
      <c r="C1625" s="22"/>
      <c r="D1625" s="26" t="str">
        <f t="shared" si="116"/>
        <v>https://kokusho.nijl.ac.jp/biblio/100232367/187</v>
      </c>
      <c r="E1625" s="22"/>
      <c r="F1625" s="22"/>
      <c r="G1625" s="22"/>
    </row>
    <row r="1626" spans="1:7" x14ac:dyDescent="0.15">
      <c r="A1626" s="19" t="s">
        <v>6767</v>
      </c>
      <c r="B1626" s="25" t="s">
        <v>7543</v>
      </c>
      <c r="C1626" s="22"/>
      <c r="D1626" s="26" t="str">
        <f t="shared" ref="D1626:D1631" si="117">HYPERLINK("https://kokusho.nijl.ac.jp/biblio/100232367/188")</f>
        <v>https://kokusho.nijl.ac.jp/biblio/100232367/188</v>
      </c>
      <c r="E1626" s="22"/>
      <c r="F1626" s="22"/>
      <c r="G1626" s="22"/>
    </row>
    <row r="1627" spans="1:7" x14ac:dyDescent="0.15">
      <c r="A1627" s="19" t="s">
        <v>6767</v>
      </c>
      <c r="B1627" s="25" t="s">
        <v>7544</v>
      </c>
      <c r="C1627" s="22"/>
      <c r="D1627" s="26" t="str">
        <f t="shared" si="117"/>
        <v>https://kokusho.nijl.ac.jp/biblio/100232367/188</v>
      </c>
      <c r="E1627" s="22"/>
      <c r="F1627" s="22"/>
      <c r="G1627" s="22"/>
    </row>
    <row r="1628" spans="1:7" x14ac:dyDescent="0.15">
      <c r="A1628" s="19" t="s">
        <v>6767</v>
      </c>
      <c r="B1628" s="25" t="s">
        <v>7545</v>
      </c>
      <c r="C1628" s="22"/>
      <c r="D1628" s="26" t="str">
        <f t="shared" si="117"/>
        <v>https://kokusho.nijl.ac.jp/biblio/100232367/188</v>
      </c>
      <c r="E1628" s="22"/>
      <c r="F1628" s="22"/>
      <c r="G1628" s="22"/>
    </row>
    <row r="1629" spans="1:7" x14ac:dyDescent="0.15">
      <c r="A1629" s="19" t="s">
        <v>6767</v>
      </c>
      <c r="B1629" s="25" t="s">
        <v>7546</v>
      </c>
      <c r="C1629" s="22"/>
      <c r="D1629" s="26" t="str">
        <f t="shared" si="117"/>
        <v>https://kokusho.nijl.ac.jp/biblio/100232367/188</v>
      </c>
      <c r="E1629" s="22"/>
      <c r="F1629" s="22"/>
      <c r="G1629" s="22"/>
    </row>
    <row r="1630" spans="1:7" x14ac:dyDescent="0.15">
      <c r="A1630" s="19" t="s">
        <v>6767</v>
      </c>
      <c r="B1630" s="25" t="s">
        <v>7547</v>
      </c>
      <c r="C1630" s="22"/>
      <c r="D1630" s="26" t="str">
        <f t="shared" si="117"/>
        <v>https://kokusho.nijl.ac.jp/biblio/100232367/188</v>
      </c>
      <c r="E1630" s="22"/>
      <c r="F1630" s="22"/>
      <c r="G1630" s="22"/>
    </row>
    <row r="1631" spans="1:7" x14ac:dyDescent="0.15">
      <c r="A1631" s="19" t="s">
        <v>6767</v>
      </c>
      <c r="B1631" s="25" t="s">
        <v>7548</v>
      </c>
      <c r="C1631" s="22"/>
      <c r="D1631" s="26" t="str">
        <f t="shared" si="117"/>
        <v>https://kokusho.nijl.ac.jp/biblio/100232367/188</v>
      </c>
      <c r="E1631" s="22"/>
      <c r="F1631" s="22"/>
      <c r="G1631" s="22"/>
    </row>
    <row r="1632" spans="1:7" x14ac:dyDescent="0.15">
      <c r="A1632" s="19" t="s">
        <v>6767</v>
      </c>
      <c r="B1632" s="25" t="s">
        <v>7549</v>
      </c>
      <c r="C1632" s="22"/>
      <c r="D1632" s="26" t="str">
        <f t="shared" ref="D1632:D1637" si="118">HYPERLINK("https://kokusho.nijl.ac.jp/biblio/100232367/189")</f>
        <v>https://kokusho.nijl.ac.jp/biblio/100232367/189</v>
      </c>
      <c r="E1632" s="22"/>
      <c r="F1632" s="22"/>
      <c r="G1632" s="22"/>
    </row>
    <row r="1633" spans="1:7" x14ac:dyDescent="0.15">
      <c r="A1633" s="19" t="s">
        <v>6767</v>
      </c>
      <c r="B1633" s="25" t="s">
        <v>7550</v>
      </c>
      <c r="C1633" s="22"/>
      <c r="D1633" s="26" t="str">
        <f t="shared" si="118"/>
        <v>https://kokusho.nijl.ac.jp/biblio/100232367/189</v>
      </c>
      <c r="E1633" s="22"/>
      <c r="F1633" s="22"/>
      <c r="G1633" s="22"/>
    </row>
    <row r="1634" spans="1:7" x14ac:dyDescent="0.15">
      <c r="A1634" s="19" t="s">
        <v>6767</v>
      </c>
      <c r="B1634" s="25" t="s">
        <v>6349</v>
      </c>
      <c r="C1634" s="22"/>
      <c r="D1634" s="26" t="str">
        <f t="shared" si="118"/>
        <v>https://kokusho.nijl.ac.jp/biblio/100232367/189</v>
      </c>
      <c r="E1634" s="22"/>
      <c r="F1634" s="22"/>
      <c r="G1634" s="22"/>
    </row>
    <row r="1635" spans="1:7" x14ac:dyDescent="0.15">
      <c r="A1635" s="19" t="s">
        <v>6767</v>
      </c>
      <c r="B1635" s="25" t="s">
        <v>7551</v>
      </c>
      <c r="C1635" s="22"/>
      <c r="D1635" s="26" t="str">
        <f t="shared" si="118"/>
        <v>https://kokusho.nijl.ac.jp/biblio/100232367/189</v>
      </c>
      <c r="E1635" s="22"/>
      <c r="F1635" s="22"/>
      <c r="G1635" s="22"/>
    </row>
    <row r="1636" spans="1:7" x14ac:dyDescent="0.15">
      <c r="A1636" s="19" t="s">
        <v>6767</v>
      </c>
      <c r="B1636" s="25" t="s">
        <v>7552</v>
      </c>
      <c r="C1636" s="22"/>
      <c r="D1636" s="26" t="str">
        <f t="shared" si="118"/>
        <v>https://kokusho.nijl.ac.jp/biblio/100232367/189</v>
      </c>
      <c r="E1636" s="22"/>
      <c r="F1636" s="22"/>
      <c r="G1636" s="22"/>
    </row>
    <row r="1637" spans="1:7" x14ac:dyDescent="0.15">
      <c r="A1637" s="19" t="s">
        <v>6767</v>
      </c>
      <c r="B1637" s="25" t="s">
        <v>7553</v>
      </c>
      <c r="C1637" s="22"/>
      <c r="D1637" s="26" t="str">
        <f t="shared" si="118"/>
        <v>https://kokusho.nijl.ac.jp/biblio/100232367/189</v>
      </c>
      <c r="E1637" s="22"/>
      <c r="F1637" s="22"/>
      <c r="G1637" s="22"/>
    </row>
    <row r="1638" spans="1:7" x14ac:dyDescent="0.15">
      <c r="A1638" s="19" t="s">
        <v>6767</v>
      </c>
      <c r="B1638" s="25" t="s">
        <v>7554</v>
      </c>
      <c r="C1638" s="22"/>
      <c r="D1638" s="26" t="str">
        <f>HYPERLINK("https://kokusho.nijl.ac.jp/biblio/100232367/190")</f>
        <v>https://kokusho.nijl.ac.jp/biblio/100232367/190</v>
      </c>
      <c r="E1638" s="22"/>
      <c r="F1638" s="22"/>
      <c r="G1638" s="22"/>
    </row>
    <row r="1639" spans="1:7" x14ac:dyDescent="0.15">
      <c r="A1639" s="19" t="s">
        <v>6767</v>
      </c>
      <c r="B1639" s="25" t="s">
        <v>7555</v>
      </c>
      <c r="C1639" s="22"/>
      <c r="D1639" s="26" t="str">
        <f>HYPERLINK("https://kokusho.nijl.ac.jp/biblio/100232367/190")</f>
        <v>https://kokusho.nijl.ac.jp/biblio/100232367/190</v>
      </c>
      <c r="E1639" s="22"/>
      <c r="F1639" s="22"/>
      <c r="G1639" s="22"/>
    </row>
    <row r="1640" spans="1:7" x14ac:dyDescent="0.15">
      <c r="A1640" s="19" t="s">
        <v>6767</v>
      </c>
      <c r="B1640" s="25" t="s">
        <v>7556</v>
      </c>
      <c r="C1640" s="22"/>
      <c r="D1640" s="26" t="str">
        <f>HYPERLINK("https://kokusho.nijl.ac.jp/biblio/100232367/190")</f>
        <v>https://kokusho.nijl.ac.jp/biblio/100232367/190</v>
      </c>
      <c r="E1640" s="22"/>
      <c r="F1640" s="22"/>
      <c r="G1640" s="22"/>
    </row>
    <row r="1641" spans="1:7" x14ac:dyDescent="0.15">
      <c r="A1641" s="19" t="s">
        <v>6767</v>
      </c>
      <c r="B1641" s="25" t="s">
        <v>7557</v>
      </c>
      <c r="C1641" s="22"/>
      <c r="D1641" s="26" t="str">
        <f>HYPERLINK("https://kokusho.nijl.ac.jp/biblio/100232367/190")</f>
        <v>https://kokusho.nijl.ac.jp/biblio/100232367/190</v>
      </c>
      <c r="E1641" s="22"/>
      <c r="F1641" s="22"/>
      <c r="G1641" s="22"/>
    </row>
    <row r="1642" spans="1:7" x14ac:dyDescent="0.15">
      <c r="A1642" s="19" t="s">
        <v>6767</v>
      </c>
      <c r="B1642" s="25" t="s">
        <v>7558</v>
      </c>
      <c r="C1642" s="22"/>
      <c r="D1642" s="26" t="str">
        <f>HYPERLINK("https://kokusho.nijl.ac.jp/biblio/100232367/190")</f>
        <v>https://kokusho.nijl.ac.jp/biblio/100232367/190</v>
      </c>
      <c r="E1642" s="22"/>
      <c r="F1642" s="22"/>
      <c r="G1642" s="22"/>
    </row>
    <row r="1643" spans="1:7" x14ac:dyDescent="0.15">
      <c r="A1643" s="19" t="s">
        <v>6767</v>
      </c>
      <c r="B1643" s="25" t="s">
        <v>7559</v>
      </c>
      <c r="C1643" s="22"/>
      <c r="D1643" s="26" t="str">
        <f t="shared" ref="D1643:D1650" si="119">HYPERLINK("https://kokusho.nijl.ac.jp/biblio/100232367/191")</f>
        <v>https://kokusho.nijl.ac.jp/biblio/100232367/191</v>
      </c>
      <c r="E1643" s="22"/>
      <c r="F1643" s="22"/>
      <c r="G1643" s="22"/>
    </row>
    <row r="1644" spans="1:7" x14ac:dyDescent="0.15">
      <c r="A1644" s="19" t="s">
        <v>6767</v>
      </c>
      <c r="B1644" s="25" t="s">
        <v>7560</v>
      </c>
      <c r="C1644" s="22"/>
      <c r="D1644" s="26" t="str">
        <f t="shared" si="119"/>
        <v>https://kokusho.nijl.ac.jp/biblio/100232367/191</v>
      </c>
      <c r="E1644" s="22"/>
      <c r="F1644" s="22"/>
      <c r="G1644" s="22"/>
    </row>
    <row r="1645" spans="1:7" x14ac:dyDescent="0.15">
      <c r="A1645" s="19" t="s">
        <v>6767</v>
      </c>
      <c r="B1645" s="25" t="s">
        <v>7561</v>
      </c>
      <c r="C1645" s="22"/>
      <c r="D1645" s="26" t="str">
        <f t="shared" si="119"/>
        <v>https://kokusho.nijl.ac.jp/biblio/100232367/191</v>
      </c>
      <c r="E1645" s="22"/>
      <c r="F1645" s="22"/>
      <c r="G1645" s="22"/>
    </row>
    <row r="1646" spans="1:7" x14ac:dyDescent="0.15">
      <c r="A1646" s="19" t="s">
        <v>6767</v>
      </c>
      <c r="B1646" s="25" t="s">
        <v>7562</v>
      </c>
      <c r="C1646" s="22"/>
      <c r="D1646" s="26" t="str">
        <f t="shared" si="119"/>
        <v>https://kokusho.nijl.ac.jp/biblio/100232367/191</v>
      </c>
      <c r="E1646" s="22"/>
      <c r="F1646" s="22"/>
      <c r="G1646" s="22"/>
    </row>
    <row r="1647" spans="1:7" x14ac:dyDescent="0.15">
      <c r="A1647" s="19" t="s">
        <v>6767</v>
      </c>
      <c r="B1647" s="25" t="s">
        <v>7563</v>
      </c>
      <c r="C1647" s="22"/>
      <c r="D1647" s="26" t="str">
        <f t="shared" si="119"/>
        <v>https://kokusho.nijl.ac.jp/biblio/100232367/191</v>
      </c>
      <c r="E1647" s="22"/>
      <c r="F1647" s="22"/>
      <c r="G1647" s="22"/>
    </row>
    <row r="1648" spans="1:7" x14ac:dyDescent="0.15">
      <c r="A1648" s="19" t="s">
        <v>6767</v>
      </c>
      <c r="B1648" s="25" t="s">
        <v>5678</v>
      </c>
      <c r="C1648" s="22"/>
      <c r="D1648" s="26" t="str">
        <f t="shared" si="119"/>
        <v>https://kokusho.nijl.ac.jp/biblio/100232367/191</v>
      </c>
      <c r="E1648" s="22"/>
      <c r="F1648" s="22"/>
      <c r="G1648" s="22"/>
    </row>
    <row r="1649" spans="1:7" x14ac:dyDescent="0.15">
      <c r="A1649" s="19" t="s">
        <v>6767</v>
      </c>
      <c r="B1649" s="25" t="s">
        <v>7564</v>
      </c>
      <c r="C1649" s="22"/>
      <c r="D1649" s="26" t="str">
        <f t="shared" si="119"/>
        <v>https://kokusho.nijl.ac.jp/biblio/100232367/191</v>
      </c>
      <c r="E1649" s="22"/>
      <c r="F1649" s="22"/>
      <c r="G1649" s="22"/>
    </row>
    <row r="1650" spans="1:7" x14ac:dyDescent="0.15">
      <c r="A1650" s="19" t="s">
        <v>6767</v>
      </c>
      <c r="B1650" s="25" t="s">
        <v>7565</v>
      </c>
      <c r="C1650" s="22"/>
      <c r="D1650" s="26" t="str">
        <f t="shared" si="119"/>
        <v>https://kokusho.nijl.ac.jp/biblio/100232367/191</v>
      </c>
      <c r="E1650" s="22"/>
      <c r="F1650" s="22"/>
      <c r="G1650" s="22"/>
    </row>
    <row r="1651" spans="1:7" x14ac:dyDescent="0.15">
      <c r="A1651" s="19" t="s">
        <v>6767</v>
      </c>
      <c r="B1651" s="25" t="s">
        <v>7566</v>
      </c>
      <c r="C1651" s="22"/>
      <c r="D1651" s="26" t="str">
        <f>HYPERLINK("https://kokusho.nijl.ac.jp/biblio/100232367/192")</f>
        <v>https://kokusho.nijl.ac.jp/biblio/100232367/192</v>
      </c>
      <c r="E1651" s="22"/>
      <c r="F1651" s="22"/>
      <c r="G1651" s="22"/>
    </row>
    <row r="1652" spans="1:7" x14ac:dyDescent="0.15">
      <c r="A1652" s="19" t="s">
        <v>6767</v>
      </c>
      <c r="B1652" s="25" t="s">
        <v>7567</v>
      </c>
      <c r="C1652" s="22"/>
      <c r="D1652" s="26" t="str">
        <f>HYPERLINK("https://kokusho.nijl.ac.jp/biblio/100232367/192")</f>
        <v>https://kokusho.nijl.ac.jp/biblio/100232367/192</v>
      </c>
      <c r="E1652" s="22"/>
      <c r="F1652" s="22"/>
      <c r="G1652" s="22"/>
    </row>
    <row r="1653" spans="1:7" x14ac:dyDescent="0.15">
      <c r="A1653" s="19" t="s">
        <v>6767</v>
      </c>
      <c r="B1653" s="25" t="s">
        <v>7568</v>
      </c>
      <c r="C1653" s="22"/>
      <c r="D1653" s="26" t="str">
        <f>HYPERLINK("https://kokusho.nijl.ac.jp/biblio/100232367/192")</f>
        <v>https://kokusho.nijl.ac.jp/biblio/100232367/192</v>
      </c>
      <c r="E1653" s="22"/>
      <c r="F1653" s="22"/>
      <c r="G1653" s="22"/>
    </row>
    <row r="1654" spans="1:7" x14ac:dyDescent="0.15">
      <c r="A1654" s="19" t="s">
        <v>6767</v>
      </c>
      <c r="B1654" s="25" t="s">
        <v>7569</v>
      </c>
      <c r="C1654" s="22"/>
      <c r="D1654" s="26" t="str">
        <f>HYPERLINK("https://kokusho.nijl.ac.jp/biblio/100232367/193")</f>
        <v>https://kokusho.nijl.ac.jp/biblio/100232367/193</v>
      </c>
      <c r="E1654" s="22"/>
      <c r="F1654" s="22"/>
      <c r="G1654" s="22"/>
    </row>
    <row r="1655" spans="1:7" x14ac:dyDescent="0.15">
      <c r="A1655" s="19" t="s">
        <v>6767</v>
      </c>
      <c r="B1655" s="25" t="s">
        <v>7570</v>
      </c>
      <c r="C1655" s="22"/>
      <c r="D1655" s="26" t="str">
        <f>HYPERLINK("https://kokusho.nijl.ac.jp/biblio/100232367/193")</f>
        <v>https://kokusho.nijl.ac.jp/biblio/100232367/193</v>
      </c>
      <c r="E1655" s="22"/>
      <c r="F1655" s="22"/>
      <c r="G1655" s="22"/>
    </row>
    <row r="1656" spans="1:7" x14ac:dyDescent="0.15">
      <c r="A1656" s="19" t="s">
        <v>6767</v>
      </c>
      <c r="B1656" s="25" t="s">
        <v>7571</v>
      </c>
      <c r="C1656" s="22"/>
      <c r="D1656" s="26" t="str">
        <f>HYPERLINK("https://kokusho.nijl.ac.jp/biblio/100232367/193")</f>
        <v>https://kokusho.nijl.ac.jp/biblio/100232367/193</v>
      </c>
      <c r="E1656" s="22"/>
      <c r="F1656" s="22"/>
      <c r="G1656" s="22"/>
    </row>
    <row r="1657" spans="1:7" x14ac:dyDescent="0.15">
      <c r="A1657" s="19" t="s">
        <v>6767</v>
      </c>
      <c r="B1657" s="25" t="s">
        <v>5674</v>
      </c>
      <c r="C1657" s="22"/>
      <c r="D1657" s="26" t="str">
        <f>HYPERLINK("https://kokusho.nijl.ac.jp/biblio/100232367/193")</f>
        <v>https://kokusho.nijl.ac.jp/biblio/100232367/193</v>
      </c>
      <c r="E1657" s="22"/>
      <c r="F1657" s="22"/>
      <c r="G1657" s="22"/>
    </row>
    <row r="1658" spans="1:7" x14ac:dyDescent="0.15">
      <c r="A1658" s="19" t="s">
        <v>6767</v>
      </c>
      <c r="B1658" s="25" t="s">
        <v>7572</v>
      </c>
      <c r="C1658" s="22"/>
      <c r="D1658" s="26" t="str">
        <f t="shared" ref="D1658:D1664" si="120">HYPERLINK("https://kokusho.nijl.ac.jp/biblio/100232367/194")</f>
        <v>https://kokusho.nijl.ac.jp/biblio/100232367/194</v>
      </c>
      <c r="E1658" s="22"/>
      <c r="F1658" s="22"/>
      <c r="G1658" s="22"/>
    </row>
    <row r="1659" spans="1:7" x14ac:dyDescent="0.15">
      <c r="A1659" s="19" t="s">
        <v>6767</v>
      </c>
      <c r="B1659" s="25" t="s">
        <v>5736</v>
      </c>
      <c r="C1659" s="22"/>
      <c r="D1659" s="26" t="str">
        <f t="shared" si="120"/>
        <v>https://kokusho.nijl.ac.jp/biblio/100232367/194</v>
      </c>
      <c r="E1659" s="22"/>
      <c r="F1659" s="22"/>
      <c r="G1659" s="22"/>
    </row>
    <row r="1660" spans="1:7" x14ac:dyDescent="0.15">
      <c r="A1660" s="19" t="s">
        <v>6767</v>
      </c>
      <c r="B1660" s="25" t="s">
        <v>7573</v>
      </c>
      <c r="C1660" s="22"/>
      <c r="D1660" s="26" t="str">
        <f t="shared" si="120"/>
        <v>https://kokusho.nijl.ac.jp/biblio/100232367/194</v>
      </c>
      <c r="E1660" s="22"/>
      <c r="F1660" s="22"/>
      <c r="G1660" s="22"/>
    </row>
    <row r="1661" spans="1:7" ht="18.75" x14ac:dyDescent="0.15">
      <c r="A1661" s="19" t="s">
        <v>6767</v>
      </c>
      <c r="B1661" s="25" t="s">
        <v>8962</v>
      </c>
      <c r="C1661" s="22"/>
      <c r="D1661" s="26" t="str">
        <f t="shared" si="120"/>
        <v>https://kokusho.nijl.ac.jp/biblio/100232367/194</v>
      </c>
      <c r="E1661" s="22"/>
      <c r="F1661" s="22"/>
      <c r="G1661" s="22"/>
    </row>
    <row r="1662" spans="1:7" x14ac:dyDescent="0.15">
      <c r="A1662" s="19" t="s">
        <v>6767</v>
      </c>
      <c r="B1662" s="25" t="s">
        <v>7574</v>
      </c>
      <c r="C1662" s="22"/>
      <c r="D1662" s="26" t="str">
        <f t="shared" si="120"/>
        <v>https://kokusho.nijl.ac.jp/biblio/100232367/194</v>
      </c>
      <c r="E1662" s="22"/>
      <c r="F1662" s="22"/>
      <c r="G1662" s="22"/>
    </row>
    <row r="1663" spans="1:7" x14ac:dyDescent="0.15">
      <c r="A1663" s="19" t="s">
        <v>6767</v>
      </c>
      <c r="B1663" s="25" t="s">
        <v>7575</v>
      </c>
      <c r="C1663" s="22"/>
      <c r="D1663" s="26" t="str">
        <f t="shared" si="120"/>
        <v>https://kokusho.nijl.ac.jp/biblio/100232367/194</v>
      </c>
      <c r="E1663" s="22"/>
      <c r="F1663" s="22"/>
      <c r="G1663" s="22"/>
    </row>
    <row r="1664" spans="1:7" x14ac:dyDescent="0.15">
      <c r="A1664" s="19" t="s">
        <v>6767</v>
      </c>
      <c r="B1664" s="25" t="s">
        <v>7576</v>
      </c>
      <c r="C1664" s="22"/>
      <c r="D1664" s="26" t="str">
        <f t="shared" si="120"/>
        <v>https://kokusho.nijl.ac.jp/biblio/100232367/194</v>
      </c>
      <c r="E1664" s="22"/>
      <c r="F1664" s="22"/>
      <c r="G1664" s="22"/>
    </row>
    <row r="1665" spans="1:7" x14ac:dyDescent="0.15">
      <c r="A1665" s="19" t="s">
        <v>6767</v>
      </c>
      <c r="B1665" s="25" t="s">
        <v>7577</v>
      </c>
      <c r="C1665" s="22"/>
      <c r="D1665" s="26" t="str">
        <f>HYPERLINK("https://kokusho.nijl.ac.jp/biblio/100232367/195")</f>
        <v>https://kokusho.nijl.ac.jp/biblio/100232367/195</v>
      </c>
      <c r="E1665" s="22"/>
      <c r="F1665" s="22"/>
      <c r="G1665" s="22"/>
    </row>
    <row r="1666" spans="1:7" x14ac:dyDescent="0.15">
      <c r="A1666" s="19" t="s">
        <v>6767</v>
      </c>
      <c r="B1666" s="25" t="s">
        <v>5732</v>
      </c>
      <c r="C1666" s="22"/>
      <c r="D1666" s="26" t="str">
        <f>HYPERLINK("https://kokusho.nijl.ac.jp/biblio/100232367/195")</f>
        <v>https://kokusho.nijl.ac.jp/biblio/100232367/195</v>
      </c>
      <c r="E1666" s="22"/>
      <c r="F1666" s="22"/>
      <c r="G1666" s="22"/>
    </row>
    <row r="1667" spans="1:7" x14ac:dyDescent="0.15">
      <c r="A1667" s="19" t="s">
        <v>6767</v>
      </c>
      <c r="B1667" s="25" t="s">
        <v>5763</v>
      </c>
      <c r="C1667" s="22"/>
      <c r="D1667" s="26" t="str">
        <f>HYPERLINK("https://kokusho.nijl.ac.jp/biblio/100232367/195")</f>
        <v>https://kokusho.nijl.ac.jp/biblio/100232367/195</v>
      </c>
      <c r="E1667" s="22"/>
      <c r="F1667" s="22"/>
      <c r="G1667" s="22"/>
    </row>
    <row r="1668" spans="1:7" x14ac:dyDescent="0.15">
      <c r="A1668" s="19" t="s">
        <v>6767</v>
      </c>
      <c r="B1668" s="25" t="s">
        <v>7578</v>
      </c>
      <c r="C1668" s="22"/>
      <c r="D1668" s="26" t="str">
        <f>HYPERLINK("https://kokusho.nijl.ac.jp/biblio/100232367/195")</f>
        <v>https://kokusho.nijl.ac.jp/biblio/100232367/195</v>
      </c>
      <c r="E1668" s="22"/>
      <c r="F1668" s="22"/>
      <c r="G1668" s="22"/>
    </row>
    <row r="1669" spans="1:7" x14ac:dyDescent="0.15">
      <c r="A1669" s="19" t="s">
        <v>6767</v>
      </c>
      <c r="B1669" s="25" t="s">
        <v>7579</v>
      </c>
      <c r="C1669" s="22"/>
      <c r="D1669" s="26" t="str">
        <f>HYPERLINK("https://kokusho.nijl.ac.jp/biblio/100232367/196")</f>
        <v>https://kokusho.nijl.ac.jp/biblio/100232367/196</v>
      </c>
      <c r="E1669" s="22"/>
      <c r="F1669" s="22"/>
      <c r="G1669" s="22"/>
    </row>
    <row r="1670" spans="1:7" x14ac:dyDescent="0.15">
      <c r="A1670" s="19" t="s">
        <v>6767</v>
      </c>
      <c r="B1670" s="25" t="s">
        <v>7580</v>
      </c>
      <c r="C1670" s="22"/>
      <c r="D1670" s="26" t="str">
        <f>HYPERLINK("https://kokusho.nijl.ac.jp/biblio/100232367/196")</f>
        <v>https://kokusho.nijl.ac.jp/biblio/100232367/196</v>
      </c>
      <c r="E1670" s="22"/>
      <c r="F1670" s="22"/>
      <c r="G1670" s="22"/>
    </row>
    <row r="1671" spans="1:7" x14ac:dyDescent="0.15">
      <c r="A1671" s="19" t="s">
        <v>6767</v>
      </c>
      <c r="B1671" s="25" t="s">
        <v>7581</v>
      </c>
      <c r="C1671" s="22"/>
      <c r="D1671" s="26" t="str">
        <f>HYPERLINK("https://kokusho.nijl.ac.jp/biblio/100232367/196")</f>
        <v>https://kokusho.nijl.ac.jp/biblio/100232367/196</v>
      </c>
      <c r="E1671" s="22"/>
      <c r="F1671" s="22"/>
      <c r="G1671" s="22"/>
    </row>
    <row r="1672" spans="1:7" x14ac:dyDescent="0.15">
      <c r="A1672" s="19" t="s">
        <v>6767</v>
      </c>
      <c r="B1672" s="25" t="s">
        <v>7582</v>
      </c>
      <c r="C1672" s="22"/>
      <c r="D1672" s="26" t="str">
        <f>HYPERLINK("https://kokusho.nijl.ac.jp/biblio/100232367/196")</f>
        <v>https://kokusho.nijl.ac.jp/biblio/100232367/196</v>
      </c>
      <c r="E1672" s="22"/>
      <c r="F1672" s="22"/>
      <c r="G1672" s="22"/>
    </row>
    <row r="1673" spans="1:7" x14ac:dyDescent="0.15">
      <c r="A1673" s="19" t="s">
        <v>6767</v>
      </c>
      <c r="B1673" s="25" t="s">
        <v>7583</v>
      </c>
      <c r="C1673" s="22"/>
      <c r="D1673" s="26" t="str">
        <f>HYPERLINK("https://kokusho.nijl.ac.jp/biblio/100232367/196")</f>
        <v>https://kokusho.nijl.ac.jp/biblio/100232367/196</v>
      </c>
      <c r="E1673" s="22"/>
      <c r="F1673" s="22"/>
      <c r="G1673" s="22"/>
    </row>
    <row r="1674" spans="1:7" x14ac:dyDescent="0.15">
      <c r="A1674" s="19" t="s">
        <v>6767</v>
      </c>
      <c r="B1674" s="25" t="s">
        <v>7584</v>
      </c>
      <c r="C1674" s="22"/>
      <c r="D1674" s="26" t="str">
        <f t="shared" ref="D1674:D1680" si="121">HYPERLINK("https://kokusho.nijl.ac.jp/biblio/100232367/197")</f>
        <v>https://kokusho.nijl.ac.jp/biblio/100232367/197</v>
      </c>
      <c r="E1674" s="22"/>
      <c r="F1674" s="22"/>
      <c r="G1674" s="22"/>
    </row>
    <row r="1675" spans="1:7" x14ac:dyDescent="0.15">
      <c r="A1675" s="19" t="s">
        <v>6767</v>
      </c>
      <c r="B1675" s="25" t="s">
        <v>7585</v>
      </c>
      <c r="C1675" s="22"/>
      <c r="D1675" s="26" t="str">
        <f t="shared" si="121"/>
        <v>https://kokusho.nijl.ac.jp/biblio/100232367/197</v>
      </c>
      <c r="E1675" s="22"/>
      <c r="F1675" s="22"/>
      <c r="G1675" s="22"/>
    </row>
    <row r="1676" spans="1:7" x14ac:dyDescent="0.15">
      <c r="A1676" s="19" t="s">
        <v>6767</v>
      </c>
      <c r="B1676" s="25" t="s">
        <v>7586</v>
      </c>
      <c r="C1676" s="22"/>
      <c r="D1676" s="26" t="str">
        <f t="shared" si="121"/>
        <v>https://kokusho.nijl.ac.jp/biblio/100232367/197</v>
      </c>
      <c r="E1676" s="22"/>
      <c r="F1676" s="22"/>
      <c r="G1676" s="22"/>
    </row>
    <row r="1677" spans="1:7" x14ac:dyDescent="0.15">
      <c r="A1677" s="19" t="s">
        <v>6767</v>
      </c>
      <c r="B1677" s="25" t="s">
        <v>7587</v>
      </c>
      <c r="C1677" s="22"/>
      <c r="D1677" s="26" t="str">
        <f t="shared" si="121"/>
        <v>https://kokusho.nijl.ac.jp/biblio/100232367/197</v>
      </c>
      <c r="E1677" s="22"/>
      <c r="F1677" s="22"/>
      <c r="G1677" s="22"/>
    </row>
    <row r="1678" spans="1:7" x14ac:dyDescent="0.15">
      <c r="A1678" s="19" t="s">
        <v>6767</v>
      </c>
      <c r="B1678" s="25" t="s">
        <v>7588</v>
      </c>
      <c r="C1678" s="22"/>
      <c r="D1678" s="26" t="str">
        <f t="shared" si="121"/>
        <v>https://kokusho.nijl.ac.jp/biblio/100232367/197</v>
      </c>
      <c r="E1678" s="22"/>
      <c r="F1678" s="22"/>
      <c r="G1678" s="22"/>
    </row>
    <row r="1679" spans="1:7" x14ac:dyDescent="0.15">
      <c r="A1679" s="19" t="s">
        <v>6767</v>
      </c>
      <c r="B1679" s="25" t="s">
        <v>7589</v>
      </c>
      <c r="C1679" s="22"/>
      <c r="D1679" s="26" t="str">
        <f t="shared" si="121"/>
        <v>https://kokusho.nijl.ac.jp/biblio/100232367/197</v>
      </c>
      <c r="E1679" s="22"/>
      <c r="F1679" s="22"/>
      <c r="G1679" s="22"/>
    </row>
    <row r="1680" spans="1:7" x14ac:dyDescent="0.15">
      <c r="A1680" s="19" t="s">
        <v>6767</v>
      </c>
      <c r="B1680" s="25" t="s">
        <v>7590</v>
      </c>
      <c r="C1680" s="22"/>
      <c r="D1680" s="26" t="str">
        <f t="shared" si="121"/>
        <v>https://kokusho.nijl.ac.jp/biblio/100232367/197</v>
      </c>
      <c r="E1680" s="22"/>
      <c r="F1680" s="22"/>
      <c r="G1680" s="22"/>
    </row>
    <row r="1681" spans="1:7" x14ac:dyDescent="0.15">
      <c r="A1681" s="19" t="s">
        <v>6767</v>
      </c>
      <c r="B1681" s="25" t="s">
        <v>7591</v>
      </c>
      <c r="C1681" s="22"/>
      <c r="D1681" s="26" t="str">
        <f t="shared" ref="D1681:D1689" si="122">HYPERLINK("https://kokusho.nijl.ac.jp/biblio/100232367/198")</f>
        <v>https://kokusho.nijl.ac.jp/biblio/100232367/198</v>
      </c>
      <c r="E1681" s="22"/>
      <c r="F1681" s="22"/>
      <c r="G1681" s="22"/>
    </row>
    <row r="1682" spans="1:7" x14ac:dyDescent="0.15">
      <c r="A1682" s="19" t="s">
        <v>6767</v>
      </c>
      <c r="B1682" s="25" t="s">
        <v>7592</v>
      </c>
      <c r="C1682" s="22"/>
      <c r="D1682" s="26" t="str">
        <f t="shared" si="122"/>
        <v>https://kokusho.nijl.ac.jp/biblio/100232367/198</v>
      </c>
      <c r="E1682" s="22"/>
      <c r="F1682" s="22"/>
      <c r="G1682" s="22"/>
    </row>
    <row r="1683" spans="1:7" x14ac:dyDescent="0.15">
      <c r="A1683" s="19" t="s">
        <v>6767</v>
      </c>
      <c r="B1683" s="25" t="s">
        <v>7593</v>
      </c>
      <c r="C1683" s="22"/>
      <c r="D1683" s="26" t="str">
        <f t="shared" si="122"/>
        <v>https://kokusho.nijl.ac.jp/biblio/100232367/198</v>
      </c>
      <c r="E1683" s="22"/>
      <c r="F1683" s="22"/>
      <c r="G1683" s="22"/>
    </row>
    <row r="1684" spans="1:7" x14ac:dyDescent="0.15">
      <c r="A1684" s="19" t="s">
        <v>6767</v>
      </c>
      <c r="B1684" s="25" t="s">
        <v>7594</v>
      </c>
      <c r="C1684" s="22"/>
      <c r="D1684" s="26" t="str">
        <f t="shared" si="122"/>
        <v>https://kokusho.nijl.ac.jp/biblio/100232367/198</v>
      </c>
      <c r="E1684" s="22"/>
      <c r="F1684" s="22"/>
      <c r="G1684" s="22"/>
    </row>
    <row r="1685" spans="1:7" x14ac:dyDescent="0.15">
      <c r="A1685" s="19" t="s">
        <v>6767</v>
      </c>
      <c r="B1685" s="25" t="s">
        <v>7595</v>
      </c>
      <c r="C1685" s="22"/>
      <c r="D1685" s="26" t="str">
        <f t="shared" si="122"/>
        <v>https://kokusho.nijl.ac.jp/biblio/100232367/198</v>
      </c>
      <c r="E1685" s="22"/>
      <c r="F1685" s="22"/>
      <c r="G1685" s="22"/>
    </row>
    <row r="1686" spans="1:7" x14ac:dyDescent="0.15">
      <c r="A1686" s="19" t="s">
        <v>6767</v>
      </c>
      <c r="B1686" s="25" t="s">
        <v>7596</v>
      </c>
      <c r="C1686" s="22"/>
      <c r="D1686" s="26" t="str">
        <f t="shared" si="122"/>
        <v>https://kokusho.nijl.ac.jp/biblio/100232367/198</v>
      </c>
      <c r="E1686" s="22"/>
      <c r="F1686" s="22"/>
      <c r="G1686" s="22"/>
    </row>
    <row r="1687" spans="1:7" x14ac:dyDescent="0.15">
      <c r="A1687" s="19" t="s">
        <v>6767</v>
      </c>
      <c r="B1687" s="25" t="s">
        <v>7597</v>
      </c>
      <c r="C1687" s="22"/>
      <c r="D1687" s="26" t="str">
        <f t="shared" si="122"/>
        <v>https://kokusho.nijl.ac.jp/biblio/100232367/198</v>
      </c>
      <c r="E1687" s="22"/>
      <c r="F1687" s="22"/>
      <c r="G1687" s="22"/>
    </row>
    <row r="1688" spans="1:7" x14ac:dyDescent="0.15">
      <c r="A1688" s="19" t="s">
        <v>6767</v>
      </c>
      <c r="B1688" s="25" t="s">
        <v>7598</v>
      </c>
      <c r="C1688" s="22"/>
      <c r="D1688" s="26" t="str">
        <f t="shared" si="122"/>
        <v>https://kokusho.nijl.ac.jp/biblio/100232367/198</v>
      </c>
      <c r="E1688" s="22"/>
      <c r="F1688" s="22"/>
      <c r="G1688" s="22"/>
    </row>
    <row r="1689" spans="1:7" x14ac:dyDescent="0.15">
      <c r="A1689" s="19" t="s">
        <v>6767</v>
      </c>
      <c r="B1689" s="25" t="s">
        <v>7599</v>
      </c>
      <c r="C1689" s="22"/>
      <c r="D1689" s="26" t="str">
        <f t="shared" si="122"/>
        <v>https://kokusho.nijl.ac.jp/biblio/100232367/198</v>
      </c>
      <c r="E1689" s="22"/>
      <c r="F1689" s="22"/>
      <c r="G1689" s="22"/>
    </row>
    <row r="1690" spans="1:7" x14ac:dyDescent="0.15">
      <c r="A1690" s="19" t="s">
        <v>6767</v>
      </c>
      <c r="B1690" s="25" t="s">
        <v>7600</v>
      </c>
      <c r="C1690" s="22"/>
      <c r="D1690" s="26" t="str">
        <f t="shared" ref="D1690:D1699" si="123">HYPERLINK("https://kokusho.nijl.ac.jp/biblio/100232367/199")</f>
        <v>https://kokusho.nijl.ac.jp/biblio/100232367/199</v>
      </c>
      <c r="E1690" s="22"/>
      <c r="F1690" s="22"/>
      <c r="G1690" s="22"/>
    </row>
    <row r="1691" spans="1:7" x14ac:dyDescent="0.15">
      <c r="A1691" s="19" t="s">
        <v>6767</v>
      </c>
      <c r="B1691" s="25" t="s">
        <v>7601</v>
      </c>
      <c r="C1691" s="22"/>
      <c r="D1691" s="26" t="str">
        <f t="shared" si="123"/>
        <v>https://kokusho.nijl.ac.jp/biblio/100232367/199</v>
      </c>
      <c r="E1691" s="22"/>
      <c r="F1691" s="22"/>
      <c r="G1691" s="22"/>
    </row>
    <row r="1692" spans="1:7" x14ac:dyDescent="0.15">
      <c r="A1692" s="19" t="s">
        <v>6767</v>
      </c>
      <c r="B1692" s="25" t="s">
        <v>7602</v>
      </c>
      <c r="C1692" s="22"/>
      <c r="D1692" s="26" t="str">
        <f t="shared" si="123"/>
        <v>https://kokusho.nijl.ac.jp/biblio/100232367/199</v>
      </c>
      <c r="E1692" s="22"/>
      <c r="F1692" s="22"/>
      <c r="G1692" s="22"/>
    </row>
    <row r="1693" spans="1:7" x14ac:dyDescent="0.15">
      <c r="A1693" s="19" t="s">
        <v>6767</v>
      </c>
      <c r="B1693" s="25" t="s">
        <v>7603</v>
      </c>
      <c r="C1693" s="22"/>
      <c r="D1693" s="26" t="str">
        <f t="shared" si="123"/>
        <v>https://kokusho.nijl.ac.jp/biblio/100232367/199</v>
      </c>
      <c r="E1693" s="22"/>
      <c r="F1693" s="22"/>
      <c r="G1693" s="22"/>
    </row>
    <row r="1694" spans="1:7" x14ac:dyDescent="0.15">
      <c r="A1694" s="19" t="s">
        <v>6767</v>
      </c>
      <c r="B1694" s="25" t="s">
        <v>7604</v>
      </c>
      <c r="C1694" s="22"/>
      <c r="D1694" s="26" t="str">
        <f t="shared" si="123"/>
        <v>https://kokusho.nijl.ac.jp/biblio/100232367/199</v>
      </c>
      <c r="E1694" s="22"/>
      <c r="F1694" s="22"/>
      <c r="G1694" s="22"/>
    </row>
    <row r="1695" spans="1:7" x14ac:dyDescent="0.15">
      <c r="A1695" s="19" t="s">
        <v>6767</v>
      </c>
      <c r="B1695" s="25" t="s">
        <v>7605</v>
      </c>
      <c r="C1695" s="22"/>
      <c r="D1695" s="26" t="str">
        <f t="shared" si="123"/>
        <v>https://kokusho.nijl.ac.jp/biblio/100232367/199</v>
      </c>
      <c r="E1695" s="22"/>
      <c r="F1695" s="22"/>
      <c r="G1695" s="22"/>
    </row>
    <row r="1696" spans="1:7" x14ac:dyDescent="0.15">
      <c r="A1696" s="19" t="s">
        <v>6767</v>
      </c>
      <c r="B1696" s="25" t="s">
        <v>7606</v>
      </c>
      <c r="C1696" s="22"/>
      <c r="D1696" s="26" t="str">
        <f t="shared" si="123"/>
        <v>https://kokusho.nijl.ac.jp/biblio/100232367/199</v>
      </c>
      <c r="E1696" s="22"/>
      <c r="F1696" s="22"/>
      <c r="G1696" s="22"/>
    </row>
    <row r="1697" spans="1:7" x14ac:dyDescent="0.15">
      <c r="A1697" s="19" t="s">
        <v>6767</v>
      </c>
      <c r="B1697" s="25" t="s">
        <v>7607</v>
      </c>
      <c r="C1697" s="22"/>
      <c r="D1697" s="26" t="str">
        <f t="shared" si="123"/>
        <v>https://kokusho.nijl.ac.jp/biblio/100232367/199</v>
      </c>
      <c r="E1697" s="22"/>
      <c r="F1697" s="22"/>
      <c r="G1697" s="22"/>
    </row>
    <row r="1698" spans="1:7" x14ac:dyDescent="0.15">
      <c r="A1698" s="19" t="s">
        <v>6767</v>
      </c>
      <c r="B1698" s="25" t="s">
        <v>7608</v>
      </c>
      <c r="C1698" s="22"/>
      <c r="D1698" s="26" t="str">
        <f t="shared" si="123"/>
        <v>https://kokusho.nijl.ac.jp/biblio/100232367/199</v>
      </c>
      <c r="E1698" s="22"/>
      <c r="F1698" s="22"/>
      <c r="G1698" s="22"/>
    </row>
    <row r="1699" spans="1:7" x14ac:dyDescent="0.15">
      <c r="A1699" s="19" t="s">
        <v>6767</v>
      </c>
      <c r="B1699" s="25" t="s">
        <v>7609</v>
      </c>
      <c r="C1699" s="22"/>
      <c r="D1699" s="26" t="str">
        <f t="shared" si="123"/>
        <v>https://kokusho.nijl.ac.jp/biblio/100232367/199</v>
      </c>
      <c r="E1699" s="22"/>
      <c r="F1699" s="22"/>
      <c r="G1699" s="22"/>
    </row>
    <row r="1700" spans="1:7" x14ac:dyDescent="0.15">
      <c r="A1700" s="19" t="s">
        <v>6767</v>
      </c>
      <c r="B1700" s="25" t="s">
        <v>7610</v>
      </c>
      <c r="C1700" s="22"/>
      <c r="D1700" s="26" t="str">
        <f>HYPERLINK("https://kokusho.nijl.ac.jp/biblio/100232367/200")</f>
        <v>https://kokusho.nijl.ac.jp/biblio/100232367/200</v>
      </c>
      <c r="E1700" s="22"/>
      <c r="F1700" s="22"/>
      <c r="G1700" s="22"/>
    </row>
    <row r="1701" spans="1:7" x14ac:dyDescent="0.15">
      <c r="A1701" s="19" t="s">
        <v>6767</v>
      </c>
      <c r="B1701" s="25" t="s">
        <v>7611</v>
      </c>
      <c r="C1701" s="22"/>
      <c r="D1701" s="26" t="str">
        <f>HYPERLINK("https://kokusho.nijl.ac.jp/biblio/100232367/200")</f>
        <v>https://kokusho.nijl.ac.jp/biblio/100232367/200</v>
      </c>
      <c r="E1701" s="22"/>
      <c r="F1701" s="22"/>
      <c r="G1701" s="22"/>
    </row>
    <row r="1702" spans="1:7" x14ac:dyDescent="0.15">
      <c r="A1702" s="19" t="s">
        <v>6767</v>
      </c>
      <c r="B1702" s="25" t="s">
        <v>7612</v>
      </c>
      <c r="C1702" s="22"/>
      <c r="D1702" s="26" t="str">
        <f>HYPERLINK("https://kokusho.nijl.ac.jp/biblio/100232367/200")</f>
        <v>https://kokusho.nijl.ac.jp/biblio/100232367/200</v>
      </c>
      <c r="E1702" s="22"/>
      <c r="F1702" s="22"/>
      <c r="G1702" s="22"/>
    </row>
    <row r="1703" spans="1:7" ht="27" x14ac:dyDescent="0.15">
      <c r="A1703" s="19" t="s">
        <v>6767</v>
      </c>
      <c r="B1703" s="25" t="s">
        <v>7613</v>
      </c>
      <c r="C1703" s="22"/>
      <c r="D1703" s="26" t="str">
        <f>HYPERLINK("https://kokusho.nijl.ac.jp/biblio/100232367/200")</f>
        <v>https://kokusho.nijl.ac.jp/biblio/100232367/200</v>
      </c>
      <c r="E1703" s="22"/>
      <c r="F1703" s="22"/>
      <c r="G1703" s="22"/>
    </row>
    <row r="1704" spans="1:7" x14ac:dyDescent="0.15">
      <c r="A1704" s="19" t="s">
        <v>6767</v>
      </c>
      <c r="B1704" s="25" t="s">
        <v>7614</v>
      </c>
      <c r="C1704" s="22"/>
      <c r="D1704" s="26" t="str">
        <f>HYPERLINK("https://kokusho.nijl.ac.jp/biblio/100232367/200")</f>
        <v>https://kokusho.nijl.ac.jp/biblio/100232367/200</v>
      </c>
      <c r="E1704" s="22"/>
      <c r="F1704" s="22"/>
      <c r="G1704" s="22"/>
    </row>
    <row r="1705" spans="1:7" x14ac:dyDescent="0.15">
      <c r="A1705" s="19" t="s">
        <v>6767</v>
      </c>
      <c r="B1705" s="25" t="s">
        <v>7615</v>
      </c>
      <c r="C1705" s="22"/>
      <c r="D1705" s="26" t="str">
        <f>HYPERLINK("https://kokusho.nijl.ac.jp/biblio/100232367/201")</f>
        <v>https://kokusho.nijl.ac.jp/biblio/100232367/201</v>
      </c>
      <c r="E1705" s="22"/>
      <c r="F1705" s="22"/>
      <c r="G1705" s="22"/>
    </row>
    <row r="1706" spans="1:7" x14ac:dyDescent="0.15">
      <c r="A1706" s="19" t="s">
        <v>6767</v>
      </c>
      <c r="B1706" s="25" t="s">
        <v>7616</v>
      </c>
      <c r="C1706" s="22"/>
      <c r="D1706" s="26" t="str">
        <f>HYPERLINK("https://kokusho.nijl.ac.jp/biblio/100232367/201")</f>
        <v>https://kokusho.nijl.ac.jp/biblio/100232367/201</v>
      </c>
      <c r="E1706" s="22"/>
      <c r="F1706" s="22"/>
      <c r="G1706" s="22"/>
    </row>
    <row r="1707" spans="1:7" x14ac:dyDescent="0.15">
      <c r="A1707" s="19" t="s">
        <v>6767</v>
      </c>
      <c r="B1707" s="25" t="s">
        <v>7617</v>
      </c>
      <c r="C1707" s="22"/>
      <c r="D1707" s="26" t="str">
        <f>HYPERLINK("https://kokusho.nijl.ac.jp/biblio/100232367/201")</f>
        <v>https://kokusho.nijl.ac.jp/biblio/100232367/201</v>
      </c>
      <c r="E1707" s="22"/>
      <c r="F1707" s="22"/>
      <c r="G1707" s="22"/>
    </row>
    <row r="1708" spans="1:7" x14ac:dyDescent="0.15">
      <c r="A1708" s="19" t="s">
        <v>6767</v>
      </c>
      <c r="B1708" s="25" t="s">
        <v>7618</v>
      </c>
      <c r="C1708" s="22"/>
      <c r="D1708" s="26" t="str">
        <f>HYPERLINK("https://kokusho.nijl.ac.jp/biblio/100232367/201")</f>
        <v>https://kokusho.nijl.ac.jp/biblio/100232367/201</v>
      </c>
      <c r="E1708" s="22"/>
      <c r="F1708" s="22"/>
      <c r="G1708" s="22"/>
    </row>
    <row r="1709" spans="1:7" x14ac:dyDescent="0.15">
      <c r="A1709" s="19" t="s">
        <v>6767</v>
      </c>
      <c r="B1709" s="25" t="s">
        <v>7619</v>
      </c>
      <c r="C1709" s="22"/>
      <c r="D1709" s="26" t="str">
        <f>HYPERLINK("https://kokusho.nijl.ac.jp/biblio/100232367/201")</f>
        <v>https://kokusho.nijl.ac.jp/biblio/100232367/201</v>
      </c>
      <c r="E1709" s="22"/>
      <c r="F1709" s="22"/>
      <c r="G1709" s="22"/>
    </row>
    <row r="1710" spans="1:7" x14ac:dyDescent="0.15">
      <c r="A1710" s="19" t="s">
        <v>6767</v>
      </c>
      <c r="B1710" s="25" t="s">
        <v>7620</v>
      </c>
      <c r="C1710" s="22"/>
      <c r="D1710" s="26" t="str">
        <f t="shared" ref="D1710:D1715" si="124">HYPERLINK("https://kokusho.nijl.ac.jp/biblio/100232367/202")</f>
        <v>https://kokusho.nijl.ac.jp/biblio/100232367/202</v>
      </c>
      <c r="E1710" s="22"/>
      <c r="F1710" s="22"/>
      <c r="G1710" s="22"/>
    </row>
    <row r="1711" spans="1:7" x14ac:dyDescent="0.15">
      <c r="A1711" s="19" t="s">
        <v>6767</v>
      </c>
      <c r="B1711" s="25" t="s">
        <v>7621</v>
      </c>
      <c r="C1711" s="22"/>
      <c r="D1711" s="26" t="str">
        <f t="shared" si="124"/>
        <v>https://kokusho.nijl.ac.jp/biblio/100232367/202</v>
      </c>
      <c r="E1711" s="22"/>
      <c r="F1711" s="22"/>
      <c r="G1711" s="22"/>
    </row>
    <row r="1712" spans="1:7" x14ac:dyDescent="0.15">
      <c r="A1712" s="19" t="s">
        <v>6767</v>
      </c>
      <c r="B1712" s="25" t="s">
        <v>7622</v>
      </c>
      <c r="C1712" s="22"/>
      <c r="D1712" s="26" t="str">
        <f t="shared" si="124"/>
        <v>https://kokusho.nijl.ac.jp/biblio/100232367/202</v>
      </c>
      <c r="E1712" s="22"/>
      <c r="F1712" s="22"/>
      <c r="G1712" s="22"/>
    </row>
    <row r="1713" spans="1:7" x14ac:dyDescent="0.15">
      <c r="A1713" s="19" t="s">
        <v>6767</v>
      </c>
      <c r="B1713" s="25" t="s">
        <v>7623</v>
      </c>
      <c r="C1713" s="22"/>
      <c r="D1713" s="26" t="str">
        <f t="shared" si="124"/>
        <v>https://kokusho.nijl.ac.jp/biblio/100232367/202</v>
      </c>
      <c r="E1713" s="22"/>
      <c r="F1713" s="22"/>
      <c r="G1713" s="22"/>
    </row>
    <row r="1714" spans="1:7" x14ac:dyDescent="0.15">
      <c r="A1714" s="19" t="s">
        <v>6767</v>
      </c>
      <c r="B1714" s="25" t="s">
        <v>7624</v>
      </c>
      <c r="C1714" s="22"/>
      <c r="D1714" s="26" t="str">
        <f t="shared" si="124"/>
        <v>https://kokusho.nijl.ac.jp/biblio/100232367/202</v>
      </c>
      <c r="E1714" s="22"/>
      <c r="F1714" s="22"/>
      <c r="G1714" s="22"/>
    </row>
    <row r="1715" spans="1:7" x14ac:dyDescent="0.15">
      <c r="A1715" s="19" t="s">
        <v>6767</v>
      </c>
      <c r="B1715" s="25" t="s">
        <v>7625</v>
      </c>
      <c r="C1715" s="22"/>
      <c r="D1715" s="26" t="str">
        <f t="shared" si="124"/>
        <v>https://kokusho.nijl.ac.jp/biblio/100232367/202</v>
      </c>
      <c r="E1715" s="22"/>
      <c r="F1715" s="22"/>
      <c r="G1715" s="22"/>
    </row>
    <row r="1716" spans="1:7" ht="40.5" x14ac:dyDescent="0.15">
      <c r="A1716" s="19" t="s">
        <v>6767</v>
      </c>
      <c r="B1716" s="25" t="s">
        <v>7626</v>
      </c>
      <c r="C1716" s="22"/>
      <c r="D1716" s="26" t="str">
        <f t="shared" ref="D1716:D1722" si="125">HYPERLINK("https://kokusho.nijl.ac.jp/biblio/100232367/203")</f>
        <v>https://kokusho.nijl.ac.jp/biblio/100232367/203</v>
      </c>
      <c r="E1716" s="22"/>
      <c r="F1716" s="22"/>
      <c r="G1716" s="22"/>
    </row>
    <row r="1717" spans="1:7" ht="40.5" x14ac:dyDescent="0.15">
      <c r="A1717" s="19" t="s">
        <v>6767</v>
      </c>
      <c r="B1717" s="25" t="s">
        <v>7627</v>
      </c>
      <c r="C1717" s="22"/>
      <c r="D1717" s="26" t="str">
        <f t="shared" si="125"/>
        <v>https://kokusho.nijl.ac.jp/biblio/100232367/203</v>
      </c>
      <c r="E1717" s="22"/>
      <c r="F1717" s="22"/>
      <c r="G1717" s="22"/>
    </row>
    <row r="1718" spans="1:7" x14ac:dyDescent="0.15">
      <c r="A1718" s="19" t="s">
        <v>6767</v>
      </c>
      <c r="B1718" s="25" t="s">
        <v>7628</v>
      </c>
      <c r="C1718" s="22"/>
      <c r="D1718" s="26" t="str">
        <f t="shared" si="125"/>
        <v>https://kokusho.nijl.ac.jp/biblio/100232367/203</v>
      </c>
      <c r="E1718" s="22"/>
      <c r="F1718" s="22"/>
      <c r="G1718" s="22"/>
    </row>
    <row r="1719" spans="1:7" ht="40.5" x14ac:dyDescent="0.15">
      <c r="A1719" s="19" t="s">
        <v>6767</v>
      </c>
      <c r="B1719" s="25" t="s">
        <v>7629</v>
      </c>
      <c r="C1719" s="22"/>
      <c r="D1719" s="26" t="str">
        <f t="shared" si="125"/>
        <v>https://kokusho.nijl.ac.jp/biblio/100232367/203</v>
      </c>
      <c r="E1719" s="22"/>
      <c r="F1719" s="22"/>
      <c r="G1719" s="22"/>
    </row>
    <row r="1720" spans="1:7" x14ac:dyDescent="0.15">
      <c r="A1720" s="19" t="s">
        <v>6767</v>
      </c>
      <c r="B1720" s="25" t="s">
        <v>7630</v>
      </c>
      <c r="C1720" s="22"/>
      <c r="D1720" s="26" t="str">
        <f t="shared" si="125"/>
        <v>https://kokusho.nijl.ac.jp/biblio/100232367/203</v>
      </c>
      <c r="E1720" s="22"/>
      <c r="F1720" s="22"/>
      <c r="G1720" s="22"/>
    </row>
    <row r="1721" spans="1:7" x14ac:dyDescent="0.15">
      <c r="A1721" s="19" t="s">
        <v>6767</v>
      </c>
      <c r="B1721" s="25" t="s">
        <v>7631</v>
      </c>
      <c r="C1721" s="22"/>
      <c r="D1721" s="26" t="str">
        <f t="shared" si="125"/>
        <v>https://kokusho.nijl.ac.jp/biblio/100232367/203</v>
      </c>
      <c r="E1721" s="22"/>
      <c r="F1721" s="22"/>
      <c r="G1721" s="22"/>
    </row>
    <row r="1722" spans="1:7" ht="40.5" x14ac:dyDescent="0.15">
      <c r="A1722" s="19" t="s">
        <v>6767</v>
      </c>
      <c r="B1722" s="25" t="s">
        <v>7632</v>
      </c>
      <c r="C1722" s="22"/>
      <c r="D1722" s="26" t="str">
        <f t="shared" si="125"/>
        <v>https://kokusho.nijl.ac.jp/biblio/100232367/203</v>
      </c>
      <c r="E1722" s="22"/>
      <c r="F1722" s="22"/>
      <c r="G1722" s="22"/>
    </row>
    <row r="1723" spans="1:7" x14ac:dyDescent="0.15">
      <c r="A1723" s="19" t="s">
        <v>6767</v>
      </c>
      <c r="B1723" s="25" t="s">
        <v>6802</v>
      </c>
      <c r="C1723" s="22"/>
      <c r="D1723" s="26" t="str">
        <f>HYPERLINK("https://kokusho.nijl.ac.jp/biblio/100232367/207")</f>
        <v>https://kokusho.nijl.ac.jp/biblio/100232367/207</v>
      </c>
      <c r="E1723" s="22"/>
      <c r="F1723" s="22"/>
      <c r="G1723" s="22"/>
    </row>
    <row r="1724" spans="1:7" x14ac:dyDescent="0.15">
      <c r="A1724" s="19" t="s">
        <v>6767</v>
      </c>
      <c r="B1724" s="25" t="s">
        <v>7633</v>
      </c>
      <c r="C1724" s="22"/>
      <c r="D1724" s="26" t="str">
        <f>HYPERLINK("https://kokusho.nijl.ac.jp/biblio/100232367/207")</f>
        <v>https://kokusho.nijl.ac.jp/biblio/100232367/207</v>
      </c>
      <c r="E1724" s="22"/>
      <c r="F1724" s="22"/>
      <c r="G1724" s="22"/>
    </row>
    <row r="1725" spans="1:7" x14ac:dyDescent="0.15">
      <c r="A1725" s="19" t="s">
        <v>6767</v>
      </c>
      <c r="B1725" s="25" t="s">
        <v>7634</v>
      </c>
      <c r="C1725" s="22"/>
      <c r="D1725" s="26" t="str">
        <f>HYPERLINK("https://kokusho.nijl.ac.jp/biblio/100232367/207")</f>
        <v>https://kokusho.nijl.ac.jp/biblio/100232367/207</v>
      </c>
      <c r="E1725" s="22"/>
      <c r="F1725" s="22"/>
      <c r="G1725" s="22"/>
    </row>
    <row r="1726" spans="1:7" x14ac:dyDescent="0.15">
      <c r="A1726" s="19" t="s">
        <v>6767</v>
      </c>
      <c r="B1726" s="25" t="s">
        <v>6567</v>
      </c>
      <c r="C1726" s="22"/>
      <c r="D1726" s="26" t="str">
        <f>HYPERLINK("https://kokusho.nijl.ac.jp/biblio/100232367/208")</f>
        <v>https://kokusho.nijl.ac.jp/biblio/100232367/208</v>
      </c>
      <c r="E1726" s="22"/>
      <c r="F1726" s="22"/>
      <c r="G1726" s="22"/>
    </row>
    <row r="1727" spans="1:7" x14ac:dyDescent="0.15">
      <c r="A1727" s="19" t="s">
        <v>6767</v>
      </c>
      <c r="B1727" s="25" t="s">
        <v>7635</v>
      </c>
      <c r="C1727" s="22"/>
      <c r="D1727" s="26" t="str">
        <f>HYPERLINK("https://kokusho.nijl.ac.jp/biblio/100232367/209")</f>
        <v>https://kokusho.nijl.ac.jp/biblio/100232367/209</v>
      </c>
      <c r="E1727" s="22"/>
      <c r="F1727" s="22"/>
      <c r="G1727" s="22"/>
    </row>
    <row r="1728" spans="1:7" x14ac:dyDescent="0.15">
      <c r="A1728" s="19" t="s">
        <v>6767</v>
      </c>
      <c r="B1728" s="25" t="s">
        <v>7636</v>
      </c>
      <c r="C1728" s="22"/>
      <c r="D1728" s="26" t="str">
        <f>HYPERLINK("https://kokusho.nijl.ac.jp/biblio/100232367/209")</f>
        <v>https://kokusho.nijl.ac.jp/biblio/100232367/209</v>
      </c>
      <c r="E1728" s="22"/>
      <c r="F1728" s="22"/>
      <c r="G1728" s="22"/>
    </row>
    <row r="1729" spans="1:7" x14ac:dyDescent="0.15">
      <c r="A1729" s="19" t="s">
        <v>6767</v>
      </c>
      <c r="B1729" s="25" t="s">
        <v>7637</v>
      </c>
      <c r="C1729" s="22"/>
      <c r="D1729" s="26" t="str">
        <f>HYPERLINK("https://kokusho.nijl.ac.jp/biblio/100232367/209")</f>
        <v>https://kokusho.nijl.ac.jp/biblio/100232367/209</v>
      </c>
      <c r="E1729" s="22"/>
      <c r="F1729" s="22"/>
      <c r="G1729" s="22"/>
    </row>
    <row r="1730" spans="1:7" x14ac:dyDescent="0.15">
      <c r="A1730" s="19" t="s">
        <v>6767</v>
      </c>
      <c r="B1730" s="25" t="s">
        <v>7638</v>
      </c>
      <c r="C1730" s="22"/>
      <c r="D1730" s="26" t="str">
        <f>HYPERLINK("https://kokusho.nijl.ac.jp/biblio/100232367/209")</f>
        <v>https://kokusho.nijl.ac.jp/biblio/100232367/209</v>
      </c>
      <c r="E1730" s="22"/>
      <c r="F1730" s="22"/>
      <c r="G1730" s="22"/>
    </row>
    <row r="1731" spans="1:7" x14ac:dyDescent="0.15">
      <c r="A1731" s="19" t="s">
        <v>6767</v>
      </c>
      <c r="B1731" s="25" t="s">
        <v>7639</v>
      </c>
      <c r="C1731" s="22"/>
      <c r="D1731" s="26" t="str">
        <f>HYPERLINK("https://kokusho.nijl.ac.jp/biblio/100232367/210")</f>
        <v>https://kokusho.nijl.ac.jp/biblio/100232367/210</v>
      </c>
      <c r="E1731" s="22"/>
      <c r="F1731" s="22"/>
      <c r="G1731" s="22"/>
    </row>
    <row r="1732" spans="1:7" x14ac:dyDescent="0.15">
      <c r="A1732" s="19" t="s">
        <v>6767</v>
      </c>
      <c r="B1732" s="25" t="s">
        <v>7640</v>
      </c>
      <c r="C1732" s="22"/>
      <c r="D1732" s="26" t="str">
        <f>HYPERLINK("https://kokusho.nijl.ac.jp/biblio/100232367/210")</f>
        <v>https://kokusho.nijl.ac.jp/biblio/100232367/210</v>
      </c>
      <c r="E1732" s="22"/>
      <c r="F1732" s="22"/>
      <c r="G1732" s="22"/>
    </row>
    <row r="1733" spans="1:7" x14ac:dyDescent="0.15">
      <c r="A1733" s="19" t="s">
        <v>6767</v>
      </c>
      <c r="B1733" s="25" t="s">
        <v>7641</v>
      </c>
      <c r="C1733" s="22"/>
      <c r="D1733" s="26" t="str">
        <f>HYPERLINK("https://kokusho.nijl.ac.jp/biblio/100232367/210")</f>
        <v>https://kokusho.nijl.ac.jp/biblio/100232367/210</v>
      </c>
      <c r="E1733" s="22"/>
      <c r="F1733" s="22"/>
      <c r="G1733" s="22"/>
    </row>
    <row r="1734" spans="1:7" x14ac:dyDescent="0.15">
      <c r="A1734" s="19" t="s">
        <v>6767</v>
      </c>
      <c r="B1734" s="25" t="s">
        <v>7642</v>
      </c>
      <c r="C1734" s="22"/>
      <c r="D1734" s="26" t="str">
        <f>HYPERLINK("https://kokusho.nijl.ac.jp/biblio/100232367/210")</f>
        <v>https://kokusho.nijl.ac.jp/biblio/100232367/210</v>
      </c>
      <c r="E1734" s="22"/>
      <c r="F1734" s="22"/>
      <c r="G1734" s="22"/>
    </row>
    <row r="1735" spans="1:7" x14ac:dyDescent="0.15">
      <c r="A1735" s="19" t="s">
        <v>6767</v>
      </c>
      <c r="B1735" s="25" t="s">
        <v>7643</v>
      </c>
      <c r="C1735" s="22"/>
      <c r="D1735" s="26" t="str">
        <f>HYPERLINK("https://kokusho.nijl.ac.jp/biblio/100232367/210")</f>
        <v>https://kokusho.nijl.ac.jp/biblio/100232367/210</v>
      </c>
      <c r="E1735" s="22"/>
      <c r="F1735" s="22"/>
      <c r="G1735" s="22"/>
    </row>
    <row r="1736" spans="1:7" x14ac:dyDescent="0.15">
      <c r="A1736" s="19" t="s">
        <v>6767</v>
      </c>
      <c r="B1736" s="25" t="s">
        <v>7644</v>
      </c>
      <c r="C1736" s="22"/>
      <c r="D1736" s="26" t="str">
        <f>HYPERLINK("https://kokusho.nijl.ac.jp/biblio/100232367/211")</f>
        <v>https://kokusho.nijl.ac.jp/biblio/100232367/211</v>
      </c>
      <c r="E1736" s="22"/>
      <c r="F1736" s="22"/>
      <c r="G1736" s="22"/>
    </row>
    <row r="1737" spans="1:7" x14ac:dyDescent="0.15">
      <c r="A1737" s="19" t="s">
        <v>6767</v>
      </c>
      <c r="B1737" s="25" t="s">
        <v>6539</v>
      </c>
      <c r="C1737" s="22"/>
      <c r="D1737" s="26" t="str">
        <f>HYPERLINK("https://kokusho.nijl.ac.jp/biblio/100232367/211")</f>
        <v>https://kokusho.nijl.ac.jp/biblio/100232367/211</v>
      </c>
      <c r="E1737" s="22"/>
      <c r="F1737" s="22"/>
      <c r="G1737" s="22"/>
    </row>
    <row r="1738" spans="1:7" x14ac:dyDescent="0.15">
      <c r="A1738" s="19" t="s">
        <v>6767</v>
      </c>
      <c r="B1738" s="25" t="s">
        <v>6536</v>
      </c>
      <c r="C1738" s="22"/>
      <c r="D1738" s="26" t="str">
        <f>HYPERLINK("https://kokusho.nijl.ac.jp/biblio/100232367/211")</f>
        <v>https://kokusho.nijl.ac.jp/biblio/100232367/211</v>
      </c>
      <c r="E1738" s="22"/>
      <c r="F1738" s="22"/>
      <c r="G1738" s="22"/>
    </row>
    <row r="1739" spans="1:7" x14ac:dyDescent="0.15">
      <c r="A1739" s="19" t="s">
        <v>6767</v>
      </c>
      <c r="B1739" s="25" t="s">
        <v>7645</v>
      </c>
      <c r="C1739" s="22"/>
      <c r="D1739" s="26" t="str">
        <f>HYPERLINK("https://kokusho.nijl.ac.jp/biblio/100232367/211")</f>
        <v>https://kokusho.nijl.ac.jp/biblio/100232367/211</v>
      </c>
      <c r="E1739" s="22"/>
      <c r="F1739" s="22"/>
      <c r="G1739" s="22"/>
    </row>
    <row r="1740" spans="1:7" x14ac:dyDescent="0.15">
      <c r="A1740" s="19" t="s">
        <v>6767</v>
      </c>
      <c r="B1740" s="25" t="s">
        <v>7646</v>
      </c>
      <c r="C1740" s="22"/>
      <c r="D1740" s="26" t="str">
        <f>HYPERLINK("https://kokusho.nijl.ac.jp/biblio/100232367/211")</f>
        <v>https://kokusho.nijl.ac.jp/biblio/100232367/211</v>
      </c>
      <c r="E1740" s="22"/>
      <c r="F1740" s="22"/>
      <c r="G1740" s="22"/>
    </row>
    <row r="1741" spans="1:7" x14ac:dyDescent="0.15">
      <c r="A1741" s="19" t="s">
        <v>6767</v>
      </c>
      <c r="B1741" s="25" t="s">
        <v>7647</v>
      </c>
      <c r="C1741" s="22"/>
      <c r="D1741" s="26" t="str">
        <f>HYPERLINK("https://kokusho.nijl.ac.jp/biblio/100232367/212")</f>
        <v>https://kokusho.nijl.ac.jp/biblio/100232367/212</v>
      </c>
      <c r="E1741" s="22"/>
      <c r="F1741" s="22"/>
      <c r="G1741" s="22"/>
    </row>
    <row r="1742" spans="1:7" x14ac:dyDescent="0.15">
      <c r="A1742" s="19" t="s">
        <v>6767</v>
      </c>
      <c r="B1742" s="25" t="s">
        <v>7648</v>
      </c>
      <c r="C1742" s="22"/>
      <c r="D1742" s="26" t="str">
        <f>HYPERLINK("https://kokusho.nijl.ac.jp/biblio/100232367/212")</f>
        <v>https://kokusho.nijl.ac.jp/biblio/100232367/212</v>
      </c>
      <c r="E1742" s="22"/>
      <c r="F1742" s="22"/>
      <c r="G1742" s="22"/>
    </row>
    <row r="1743" spans="1:7" x14ac:dyDescent="0.15">
      <c r="A1743" s="19" t="s">
        <v>6767</v>
      </c>
      <c r="B1743" s="25" t="s">
        <v>7649</v>
      </c>
      <c r="C1743" s="22"/>
      <c r="D1743" s="26" t="str">
        <f>HYPERLINK("https://kokusho.nijl.ac.jp/biblio/100232367/212")</f>
        <v>https://kokusho.nijl.ac.jp/biblio/100232367/212</v>
      </c>
      <c r="E1743" s="22"/>
      <c r="F1743" s="22"/>
      <c r="G1743" s="22"/>
    </row>
    <row r="1744" spans="1:7" x14ac:dyDescent="0.15">
      <c r="A1744" s="19" t="s">
        <v>6767</v>
      </c>
      <c r="B1744" s="25" t="s">
        <v>7650</v>
      </c>
      <c r="C1744" s="22"/>
      <c r="D1744" s="26" t="str">
        <f>HYPERLINK("https://kokusho.nijl.ac.jp/biblio/100232367/212")</f>
        <v>https://kokusho.nijl.ac.jp/biblio/100232367/212</v>
      </c>
      <c r="E1744" s="22"/>
      <c r="F1744" s="22"/>
      <c r="G1744" s="22"/>
    </row>
    <row r="1745" spans="1:7" x14ac:dyDescent="0.15">
      <c r="A1745" s="19" t="s">
        <v>6767</v>
      </c>
      <c r="B1745" s="25" t="s">
        <v>7651</v>
      </c>
      <c r="C1745" s="22"/>
      <c r="D1745" s="26" t="str">
        <f>HYPERLINK("https://kokusho.nijl.ac.jp/biblio/100232367/212")</f>
        <v>https://kokusho.nijl.ac.jp/biblio/100232367/212</v>
      </c>
      <c r="E1745" s="22"/>
      <c r="F1745" s="22"/>
      <c r="G1745" s="22"/>
    </row>
    <row r="1746" spans="1:7" x14ac:dyDescent="0.15">
      <c r="A1746" s="19" t="s">
        <v>6767</v>
      </c>
      <c r="B1746" s="25" t="s">
        <v>7652</v>
      </c>
      <c r="C1746" s="22"/>
      <c r="D1746" s="26" t="str">
        <f>HYPERLINK("https://kokusho.nijl.ac.jp/biblio/100232367/213")</f>
        <v>https://kokusho.nijl.ac.jp/biblio/100232367/213</v>
      </c>
      <c r="E1746" s="22"/>
      <c r="F1746" s="22"/>
      <c r="G1746" s="22"/>
    </row>
    <row r="1747" spans="1:7" x14ac:dyDescent="0.15">
      <c r="A1747" s="19" t="s">
        <v>6767</v>
      </c>
      <c r="B1747" s="25" t="s">
        <v>7653</v>
      </c>
      <c r="C1747" s="22"/>
      <c r="D1747" s="26" t="str">
        <f>HYPERLINK("https://kokusho.nijl.ac.jp/biblio/100232367/213")</f>
        <v>https://kokusho.nijl.ac.jp/biblio/100232367/213</v>
      </c>
      <c r="E1747" s="22"/>
      <c r="F1747" s="22"/>
      <c r="G1747" s="22"/>
    </row>
    <row r="1748" spans="1:7" x14ac:dyDescent="0.15">
      <c r="A1748" s="19" t="s">
        <v>6767</v>
      </c>
      <c r="B1748" s="25" t="s">
        <v>7654</v>
      </c>
      <c r="C1748" s="22"/>
      <c r="D1748" s="26" t="str">
        <f>HYPERLINK("https://kokusho.nijl.ac.jp/biblio/100232367/213")</f>
        <v>https://kokusho.nijl.ac.jp/biblio/100232367/213</v>
      </c>
      <c r="E1748" s="22"/>
      <c r="F1748" s="22"/>
      <c r="G1748" s="22"/>
    </row>
    <row r="1749" spans="1:7" x14ac:dyDescent="0.15">
      <c r="A1749" s="19" t="s">
        <v>6767</v>
      </c>
      <c r="B1749" s="25" t="s">
        <v>7655</v>
      </c>
      <c r="C1749" s="22"/>
      <c r="D1749" s="26" t="str">
        <f>HYPERLINK("https://kokusho.nijl.ac.jp/biblio/100232367/213")</f>
        <v>https://kokusho.nijl.ac.jp/biblio/100232367/213</v>
      </c>
      <c r="E1749" s="22"/>
      <c r="F1749" s="22"/>
      <c r="G1749" s="22"/>
    </row>
    <row r="1750" spans="1:7" x14ac:dyDescent="0.15">
      <c r="A1750" s="19" t="s">
        <v>6767</v>
      </c>
      <c r="B1750" s="25" t="s">
        <v>7656</v>
      </c>
      <c r="C1750" s="22"/>
      <c r="D1750" s="26" t="str">
        <f>HYPERLINK("https://kokusho.nijl.ac.jp/biblio/100232367/214")</f>
        <v>https://kokusho.nijl.ac.jp/biblio/100232367/214</v>
      </c>
      <c r="E1750" s="22"/>
      <c r="F1750" s="22"/>
      <c r="G1750" s="22"/>
    </row>
    <row r="1751" spans="1:7" x14ac:dyDescent="0.15">
      <c r="A1751" s="19" t="s">
        <v>6767</v>
      </c>
      <c r="B1751" s="25" t="s">
        <v>5865</v>
      </c>
      <c r="C1751" s="22"/>
      <c r="D1751" s="26" t="str">
        <f>HYPERLINK("https://kokusho.nijl.ac.jp/biblio/100232367/214")</f>
        <v>https://kokusho.nijl.ac.jp/biblio/100232367/214</v>
      </c>
      <c r="E1751" s="22"/>
      <c r="F1751" s="22"/>
      <c r="G1751" s="22"/>
    </row>
    <row r="1752" spans="1:7" x14ac:dyDescent="0.15">
      <c r="A1752" s="19" t="s">
        <v>6767</v>
      </c>
      <c r="B1752" s="25" t="s">
        <v>7657</v>
      </c>
      <c r="C1752" s="22"/>
      <c r="D1752" s="26" t="str">
        <f>HYPERLINK("https://kokusho.nijl.ac.jp/biblio/100232367/214")</f>
        <v>https://kokusho.nijl.ac.jp/biblio/100232367/214</v>
      </c>
      <c r="E1752" s="22"/>
      <c r="F1752" s="22"/>
      <c r="G1752" s="22"/>
    </row>
    <row r="1753" spans="1:7" x14ac:dyDescent="0.15">
      <c r="A1753" s="19" t="s">
        <v>6767</v>
      </c>
      <c r="B1753" s="25" t="s">
        <v>7658</v>
      </c>
      <c r="C1753" s="22"/>
      <c r="D1753" s="26" t="str">
        <f>HYPERLINK("https://kokusho.nijl.ac.jp/biblio/100232367/214")</f>
        <v>https://kokusho.nijl.ac.jp/biblio/100232367/214</v>
      </c>
      <c r="E1753" s="22"/>
      <c r="F1753" s="22"/>
      <c r="G1753" s="22"/>
    </row>
    <row r="1754" spans="1:7" x14ac:dyDescent="0.15">
      <c r="A1754" s="19" t="s">
        <v>6767</v>
      </c>
      <c r="B1754" s="25" t="s">
        <v>7659</v>
      </c>
      <c r="C1754" s="22"/>
      <c r="D1754" s="26" t="str">
        <f>HYPERLINK("https://kokusho.nijl.ac.jp/biblio/100232367/214")</f>
        <v>https://kokusho.nijl.ac.jp/biblio/100232367/214</v>
      </c>
      <c r="E1754" s="22"/>
      <c r="F1754" s="22"/>
      <c r="G1754" s="22"/>
    </row>
    <row r="1755" spans="1:7" x14ac:dyDescent="0.15">
      <c r="A1755" s="19" t="s">
        <v>6767</v>
      </c>
      <c r="B1755" s="25" t="s">
        <v>7660</v>
      </c>
      <c r="C1755" s="22"/>
      <c r="D1755" s="26" t="str">
        <f t="shared" ref="D1755:D1760" si="126">HYPERLINK("https://kokusho.nijl.ac.jp/biblio/100232367/215")</f>
        <v>https://kokusho.nijl.ac.jp/biblio/100232367/215</v>
      </c>
      <c r="E1755" s="22"/>
      <c r="F1755" s="22"/>
      <c r="G1755" s="22"/>
    </row>
    <row r="1756" spans="1:7" x14ac:dyDescent="0.15">
      <c r="A1756" s="19" t="s">
        <v>6767</v>
      </c>
      <c r="B1756" s="25" t="s">
        <v>7661</v>
      </c>
      <c r="C1756" s="22"/>
      <c r="D1756" s="26" t="str">
        <f t="shared" si="126"/>
        <v>https://kokusho.nijl.ac.jp/biblio/100232367/215</v>
      </c>
      <c r="E1756" s="22"/>
      <c r="F1756" s="22"/>
      <c r="G1756" s="22"/>
    </row>
    <row r="1757" spans="1:7" x14ac:dyDescent="0.15">
      <c r="A1757" s="19" t="s">
        <v>6767</v>
      </c>
      <c r="B1757" s="25" t="s">
        <v>7662</v>
      </c>
      <c r="C1757" s="22"/>
      <c r="D1757" s="26" t="str">
        <f t="shared" si="126"/>
        <v>https://kokusho.nijl.ac.jp/biblio/100232367/215</v>
      </c>
      <c r="E1757" s="22"/>
      <c r="F1757" s="22"/>
      <c r="G1757" s="22"/>
    </row>
    <row r="1758" spans="1:7" x14ac:dyDescent="0.15">
      <c r="A1758" s="19" t="s">
        <v>6767</v>
      </c>
      <c r="B1758" s="25" t="s">
        <v>7663</v>
      </c>
      <c r="C1758" s="22"/>
      <c r="D1758" s="26" t="str">
        <f t="shared" si="126"/>
        <v>https://kokusho.nijl.ac.jp/biblio/100232367/215</v>
      </c>
      <c r="E1758" s="22"/>
      <c r="F1758" s="22"/>
      <c r="G1758" s="22"/>
    </row>
    <row r="1759" spans="1:7" x14ac:dyDescent="0.15">
      <c r="A1759" s="19" t="s">
        <v>6767</v>
      </c>
      <c r="B1759" s="25" t="s">
        <v>7664</v>
      </c>
      <c r="C1759" s="22"/>
      <c r="D1759" s="26" t="str">
        <f t="shared" si="126"/>
        <v>https://kokusho.nijl.ac.jp/biblio/100232367/215</v>
      </c>
      <c r="E1759" s="22"/>
      <c r="F1759" s="22"/>
      <c r="G1759" s="22"/>
    </row>
    <row r="1760" spans="1:7" x14ac:dyDescent="0.15">
      <c r="A1760" s="19" t="s">
        <v>6767</v>
      </c>
      <c r="B1760" s="25" t="s">
        <v>5873</v>
      </c>
      <c r="C1760" s="22"/>
      <c r="D1760" s="26" t="str">
        <f t="shared" si="126"/>
        <v>https://kokusho.nijl.ac.jp/biblio/100232367/215</v>
      </c>
      <c r="E1760" s="22"/>
      <c r="F1760" s="22"/>
      <c r="G1760" s="22"/>
    </row>
    <row r="1761" spans="1:7" x14ac:dyDescent="0.15">
      <c r="A1761" s="19" t="s">
        <v>6767</v>
      </c>
      <c r="B1761" s="25" t="s">
        <v>7665</v>
      </c>
      <c r="C1761" s="22"/>
      <c r="D1761" s="26" t="str">
        <f t="shared" ref="D1761:D1767" si="127">HYPERLINK("https://kokusho.nijl.ac.jp/biblio/100232367/216")</f>
        <v>https://kokusho.nijl.ac.jp/biblio/100232367/216</v>
      </c>
      <c r="E1761" s="22"/>
      <c r="F1761" s="22"/>
      <c r="G1761" s="22"/>
    </row>
    <row r="1762" spans="1:7" x14ac:dyDescent="0.15">
      <c r="A1762" s="19" t="s">
        <v>6767</v>
      </c>
      <c r="B1762" s="25" t="s">
        <v>7666</v>
      </c>
      <c r="C1762" s="22"/>
      <c r="D1762" s="26" t="str">
        <f t="shared" si="127"/>
        <v>https://kokusho.nijl.ac.jp/biblio/100232367/216</v>
      </c>
      <c r="E1762" s="22"/>
      <c r="F1762" s="22"/>
      <c r="G1762" s="22"/>
    </row>
    <row r="1763" spans="1:7" x14ac:dyDescent="0.15">
      <c r="A1763" s="19" t="s">
        <v>6767</v>
      </c>
      <c r="B1763" s="25" t="s">
        <v>7667</v>
      </c>
      <c r="C1763" s="22"/>
      <c r="D1763" s="26" t="str">
        <f t="shared" si="127"/>
        <v>https://kokusho.nijl.ac.jp/biblio/100232367/216</v>
      </c>
      <c r="E1763" s="22"/>
      <c r="F1763" s="22"/>
      <c r="G1763" s="22"/>
    </row>
    <row r="1764" spans="1:7" x14ac:dyDescent="0.15">
      <c r="A1764" s="19" t="s">
        <v>6767</v>
      </c>
      <c r="B1764" s="25" t="s">
        <v>7668</v>
      </c>
      <c r="C1764" s="22"/>
      <c r="D1764" s="26" t="str">
        <f t="shared" si="127"/>
        <v>https://kokusho.nijl.ac.jp/biblio/100232367/216</v>
      </c>
      <c r="E1764" s="22"/>
      <c r="F1764" s="22"/>
      <c r="G1764" s="22"/>
    </row>
    <row r="1765" spans="1:7" x14ac:dyDescent="0.15">
      <c r="A1765" s="19" t="s">
        <v>6767</v>
      </c>
      <c r="B1765" s="25" t="s">
        <v>7669</v>
      </c>
      <c r="C1765" s="22"/>
      <c r="D1765" s="26" t="str">
        <f t="shared" si="127"/>
        <v>https://kokusho.nijl.ac.jp/biblio/100232367/216</v>
      </c>
      <c r="E1765" s="22"/>
      <c r="F1765" s="22"/>
      <c r="G1765" s="22"/>
    </row>
    <row r="1766" spans="1:7" x14ac:dyDescent="0.15">
      <c r="A1766" s="19" t="s">
        <v>6767</v>
      </c>
      <c r="B1766" s="25" t="s">
        <v>7670</v>
      </c>
      <c r="C1766" s="22"/>
      <c r="D1766" s="26" t="str">
        <f t="shared" si="127"/>
        <v>https://kokusho.nijl.ac.jp/biblio/100232367/216</v>
      </c>
      <c r="E1766" s="22"/>
      <c r="F1766" s="22"/>
      <c r="G1766" s="22"/>
    </row>
    <row r="1767" spans="1:7" x14ac:dyDescent="0.15">
      <c r="A1767" s="19" t="s">
        <v>6767</v>
      </c>
      <c r="B1767" s="25" t="s">
        <v>7671</v>
      </c>
      <c r="C1767" s="22"/>
      <c r="D1767" s="26" t="str">
        <f t="shared" si="127"/>
        <v>https://kokusho.nijl.ac.jp/biblio/100232367/216</v>
      </c>
      <c r="E1767" s="22"/>
      <c r="F1767" s="22"/>
      <c r="G1767" s="22"/>
    </row>
    <row r="1768" spans="1:7" x14ac:dyDescent="0.15">
      <c r="A1768" s="19" t="s">
        <v>6767</v>
      </c>
      <c r="B1768" s="25" t="s">
        <v>7672</v>
      </c>
      <c r="C1768" s="22"/>
      <c r="D1768" s="26" t="str">
        <f t="shared" ref="D1768:D1773" si="128">HYPERLINK("https://kokusho.nijl.ac.jp/biblio/100232367/217")</f>
        <v>https://kokusho.nijl.ac.jp/biblio/100232367/217</v>
      </c>
      <c r="E1768" s="22"/>
      <c r="F1768" s="22"/>
      <c r="G1768" s="22"/>
    </row>
    <row r="1769" spans="1:7" x14ac:dyDescent="0.15">
      <c r="A1769" s="19" t="s">
        <v>6767</v>
      </c>
      <c r="B1769" s="25" t="s">
        <v>7673</v>
      </c>
      <c r="C1769" s="22"/>
      <c r="D1769" s="26" t="str">
        <f t="shared" si="128"/>
        <v>https://kokusho.nijl.ac.jp/biblio/100232367/217</v>
      </c>
      <c r="E1769" s="22"/>
      <c r="F1769" s="22"/>
      <c r="G1769" s="22"/>
    </row>
    <row r="1770" spans="1:7" x14ac:dyDescent="0.15">
      <c r="A1770" s="19" t="s">
        <v>6767</v>
      </c>
      <c r="B1770" s="25" t="s">
        <v>7674</v>
      </c>
      <c r="C1770" s="22"/>
      <c r="D1770" s="26" t="str">
        <f t="shared" si="128"/>
        <v>https://kokusho.nijl.ac.jp/biblio/100232367/217</v>
      </c>
      <c r="E1770" s="22"/>
      <c r="F1770" s="22"/>
      <c r="G1770" s="22"/>
    </row>
    <row r="1771" spans="1:7" x14ac:dyDescent="0.15">
      <c r="A1771" s="19" t="s">
        <v>6767</v>
      </c>
      <c r="B1771" s="25" t="s">
        <v>7675</v>
      </c>
      <c r="C1771" s="22"/>
      <c r="D1771" s="26" t="str">
        <f t="shared" si="128"/>
        <v>https://kokusho.nijl.ac.jp/biblio/100232367/217</v>
      </c>
      <c r="E1771" s="22"/>
      <c r="F1771" s="22"/>
      <c r="G1771" s="22"/>
    </row>
    <row r="1772" spans="1:7" x14ac:dyDescent="0.15">
      <c r="A1772" s="19" t="s">
        <v>6767</v>
      </c>
      <c r="B1772" s="25" t="s">
        <v>7676</v>
      </c>
      <c r="C1772" s="22"/>
      <c r="D1772" s="26" t="str">
        <f t="shared" si="128"/>
        <v>https://kokusho.nijl.ac.jp/biblio/100232367/217</v>
      </c>
      <c r="E1772" s="22"/>
      <c r="F1772" s="22"/>
      <c r="G1772" s="22"/>
    </row>
    <row r="1773" spans="1:7" x14ac:dyDescent="0.15">
      <c r="A1773" s="19" t="s">
        <v>6767</v>
      </c>
      <c r="B1773" s="25" t="s">
        <v>7677</v>
      </c>
      <c r="C1773" s="22"/>
      <c r="D1773" s="26" t="str">
        <f t="shared" si="128"/>
        <v>https://kokusho.nijl.ac.jp/biblio/100232367/217</v>
      </c>
      <c r="E1773" s="22"/>
      <c r="F1773" s="22"/>
      <c r="G1773" s="22"/>
    </row>
    <row r="1774" spans="1:7" x14ac:dyDescent="0.15">
      <c r="A1774" s="19" t="s">
        <v>6767</v>
      </c>
      <c r="B1774" s="25" t="s">
        <v>7678</v>
      </c>
      <c r="C1774" s="22"/>
      <c r="D1774" s="26" t="str">
        <f t="shared" ref="D1774:D1781" si="129">HYPERLINK("https://kokusho.nijl.ac.jp/biblio/100232367/218")</f>
        <v>https://kokusho.nijl.ac.jp/biblio/100232367/218</v>
      </c>
      <c r="E1774" s="22"/>
      <c r="F1774" s="22"/>
      <c r="G1774" s="22"/>
    </row>
    <row r="1775" spans="1:7" x14ac:dyDescent="0.15">
      <c r="A1775" s="19" t="s">
        <v>6767</v>
      </c>
      <c r="B1775" s="25" t="s">
        <v>7679</v>
      </c>
      <c r="C1775" s="22"/>
      <c r="D1775" s="26" t="str">
        <f t="shared" si="129"/>
        <v>https://kokusho.nijl.ac.jp/biblio/100232367/218</v>
      </c>
      <c r="E1775" s="22"/>
      <c r="F1775" s="22"/>
      <c r="G1775" s="22"/>
    </row>
    <row r="1776" spans="1:7" x14ac:dyDescent="0.15">
      <c r="A1776" s="19" t="s">
        <v>6767</v>
      </c>
      <c r="B1776" s="25" t="s">
        <v>7680</v>
      </c>
      <c r="C1776" s="22"/>
      <c r="D1776" s="26" t="str">
        <f t="shared" si="129"/>
        <v>https://kokusho.nijl.ac.jp/biblio/100232367/218</v>
      </c>
      <c r="E1776" s="22"/>
      <c r="F1776" s="22"/>
      <c r="G1776" s="22"/>
    </row>
    <row r="1777" spans="1:7" x14ac:dyDescent="0.15">
      <c r="A1777" s="19" t="s">
        <v>6767</v>
      </c>
      <c r="B1777" s="25" t="s">
        <v>7681</v>
      </c>
      <c r="C1777" s="22"/>
      <c r="D1777" s="26" t="str">
        <f t="shared" si="129"/>
        <v>https://kokusho.nijl.ac.jp/biblio/100232367/218</v>
      </c>
      <c r="E1777" s="22"/>
      <c r="F1777" s="22"/>
      <c r="G1777" s="22"/>
    </row>
    <row r="1778" spans="1:7" x14ac:dyDescent="0.15">
      <c r="A1778" s="19" t="s">
        <v>6767</v>
      </c>
      <c r="B1778" s="25" t="s">
        <v>7682</v>
      </c>
      <c r="C1778" s="22"/>
      <c r="D1778" s="26" t="str">
        <f t="shared" si="129"/>
        <v>https://kokusho.nijl.ac.jp/biblio/100232367/218</v>
      </c>
      <c r="E1778" s="22"/>
      <c r="F1778" s="22"/>
      <c r="G1778" s="22"/>
    </row>
    <row r="1779" spans="1:7" x14ac:dyDescent="0.15">
      <c r="A1779" s="19" t="s">
        <v>6767</v>
      </c>
      <c r="B1779" s="25" t="s">
        <v>7683</v>
      </c>
      <c r="C1779" s="22"/>
      <c r="D1779" s="26" t="str">
        <f t="shared" si="129"/>
        <v>https://kokusho.nijl.ac.jp/biblio/100232367/218</v>
      </c>
      <c r="E1779" s="22"/>
      <c r="F1779" s="22"/>
      <c r="G1779" s="22"/>
    </row>
    <row r="1780" spans="1:7" x14ac:dyDescent="0.15">
      <c r="A1780" s="19" t="s">
        <v>6767</v>
      </c>
      <c r="B1780" s="25" t="s">
        <v>7684</v>
      </c>
      <c r="C1780" s="22"/>
      <c r="D1780" s="26" t="str">
        <f t="shared" si="129"/>
        <v>https://kokusho.nijl.ac.jp/biblio/100232367/218</v>
      </c>
      <c r="E1780" s="22"/>
      <c r="F1780" s="22"/>
      <c r="G1780" s="22"/>
    </row>
    <row r="1781" spans="1:7" x14ac:dyDescent="0.15">
      <c r="A1781" s="19" t="s">
        <v>6767</v>
      </c>
      <c r="B1781" s="25" t="s">
        <v>7685</v>
      </c>
      <c r="C1781" s="22"/>
      <c r="D1781" s="26" t="str">
        <f t="shared" si="129"/>
        <v>https://kokusho.nijl.ac.jp/biblio/100232367/218</v>
      </c>
      <c r="E1781" s="22"/>
      <c r="F1781" s="22"/>
      <c r="G1781" s="22"/>
    </row>
    <row r="1782" spans="1:7" x14ac:dyDescent="0.15">
      <c r="A1782" s="19" t="s">
        <v>6767</v>
      </c>
      <c r="B1782" s="25" t="s">
        <v>7686</v>
      </c>
      <c r="C1782" s="22"/>
      <c r="D1782" s="26" t="str">
        <f t="shared" ref="D1782:D1790" si="130">HYPERLINK("https://kokusho.nijl.ac.jp/biblio/100232367/219")</f>
        <v>https://kokusho.nijl.ac.jp/biblio/100232367/219</v>
      </c>
      <c r="E1782" s="22"/>
      <c r="F1782" s="22"/>
      <c r="G1782" s="22"/>
    </row>
    <row r="1783" spans="1:7" x14ac:dyDescent="0.15">
      <c r="A1783" s="19" t="s">
        <v>6767</v>
      </c>
      <c r="B1783" s="25" t="s">
        <v>7687</v>
      </c>
      <c r="C1783" s="22"/>
      <c r="D1783" s="26" t="str">
        <f t="shared" si="130"/>
        <v>https://kokusho.nijl.ac.jp/biblio/100232367/219</v>
      </c>
      <c r="E1783" s="22"/>
      <c r="F1783" s="22"/>
      <c r="G1783" s="22"/>
    </row>
    <row r="1784" spans="1:7" ht="18.75" x14ac:dyDescent="0.15">
      <c r="A1784" s="19" t="s">
        <v>6767</v>
      </c>
      <c r="B1784" s="25" t="s">
        <v>8963</v>
      </c>
      <c r="C1784" s="22"/>
      <c r="D1784" s="26" t="str">
        <f t="shared" si="130"/>
        <v>https://kokusho.nijl.ac.jp/biblio/100232367/219</v>
      </c>
      <c r="E1784" s="22"/>
      <c r="F1784" s="22"/>
      <c r="G1784" s="22"/>
    </row>
    <row r="1785" spans="1:7" x14ac:dyDescent="0.15">
      <c r="A1785" s="19" t="s">
        <v>6767</v>
      </c>
      <c r="B1785" s="25" t="s">
        <v>7688</v>
      </c>
      <c r="C1785" s="22"/>
      <c r="D1785" s="26" t="str">
        <f t="shared" si="130"/>
        <v>https://kokusho.nijl.ac.jp/biblio/100232367/219</v>
      </c>
      <c r="E1785" s="22"/>
      <c r="F1785" s="22"/>
      <c r="G1785" s="22"/>
    </row>
    <row r="1786" spans="1:7" x14ac:dyDescent="0.15">
      <c r="A1786" s="19" t="s">
        <v>6767</v>
      </c>
      <c r="B1786" s="25" t="s">
        <v>7689</v>
      </c>
      <c r="C1786" s="22"/>
      <c r="D1786" s="26" t="str">
        <f t="shared" si="130"/>
        <v>https://kokusho.nijl.ac.jp/biblio/100232367/219</v>
      </c>
      <c r="E1786" s="22"/>
      <c r="F1786" s="22"/>
      <c r="G1786" s="22"/>
    </row>
    <row r="1787" spans="1:7" x14ac:dyDescent="0.15">
      <c r="A1787" s="19" t="s">
        <v>6767</v>
      </c>
      <c r="B1787" s="25" t="s">
        <v>7690</v>
      </c>
      <c r="C1787" s="22"/>
      <c r="D1787" s="26" t="str">
        <f t="shared" si="130"/>
        <v>https://kokusho.nijl.ac.jp/biblio/100232367/219</v>
      </c>
      <c r="E1787" s="22"/>
      <c r="F1787" s="22"/>
      <c r="G1787" s="22"/>
    </row>
    <row r="1788" spans="1:7" x14ac:dyDescent="0.15">
      <c r="A1788" s="19" t="s">
        <v>6767</v>
      </c>
      <c r="B1788" s="25" t="s">
        <v>7691</v>
      </c>
      <c r="C1788" s="22"/>
      <c r="D1788" s="26" t="str">
        <f t="shared" si="130"/>
        <v>https://kokusho.nijl.ac.jp/biblio/100232367/219</v>
      </c>
      <c r="E1788" s="22"/>
      <c r="F1788" s="22"/>
      <c r="G1788" s="22"/>
    </row>
    <row r="1789" spans="1:7" x14ac:dyDescent="0.15">
      <c r="A1789" s="19" t="s">
        <v>6767</v>
      </c>
      <c r="B1789" s="25" t="s">
        <v>7692</v>
      </c>
      <c r="C1789" s="22"/>
      <c r="D1789" s="26" t="str">
        <f t="shared" si="130"/>
        <v>https://kokusho.nijl.ac.jp/biblio/100232367/219</v>
      </c>
      <c r="E1789" s="22"/>
      <c r="F1789" s="22"/>
      <c r="G1789" s="22"/>
    </row>
    <row r="1790" spans="1:7" x14ac:dyDescent="0.15">
      <c r="A1790" s="19" t="s">
        <v>6767</v>
      </c>
      <c r="B1790" s="25" t="s">
        <v>7693</v>
      </c>
      <c r="C1790" s="22"/>
      <c r="D1790" s="26" t="str">
        <f t="shared" si="130"/>
        <v>https://kokusho.nijl.ac.jp/biblio/100232367/219</v>
      </c>
      <c r="E1790" s="22"/>
      <c r="F1790" s="22"/>
      <c r="G1790" s="22"/>
    </row>
    <row r="1791" spans="1:7" x14ac:dyDescent="0.15">
      <c r="A1791" s="19" t="s">
        <v>6767</v>
      </c>
      <c r="B1791" s="25" t="s">
        <v>7694</v>
      </c>
      <c r="C1791" s="22"/>
      <c r="D1791" s="26" t="str">
        <f t="shared" ref="D1791:D1797" si="131">HYPERLINK("https://kokusho.nijl.ac.jp/biblio/100232367/220")</f>
        <v>https://kokusho.nijl.ac.jp/biblio/100232367/220</v>
      </c>
      <c r="E1791" s="22"/>
      <c r="F1791" s="22"/>
      <c r="G1791" s="22"/>
    </row>
    <row r="1792" spans="1:7" x14ac:dyDescent="0.15">
      <c r="A1792" s="19" t="s">
        <v>6767</v>
      </c>
      <c r="B1792" s="25" t="s">
        <v>7695</v>
      </c>
      <c r="C1792" s="22"/>
      <c r="D1792" s="26" t="str">
        <f t="shared" si="131"/>
        <v>https://kokusho.nijl.ac.jp/biblio/100232367/220</v>
      </c>
      <c r="E1792" s="22"/>
      <c r="F1792" s="22"/>
      <c r="G1792" s="22"/>
    </row>
    <row r="1793" spans="1:7" x14ac:dyDescent="0.15">
      <c r="A1793" s="19" t="s">
        <v>6767</v>
      </c>
      <c r="B1793" s="25" t="s">
        <v>7696</v>
      </c>
      <c r="C1793" s="22"/>
      <c r="D1793" s="26" t="str">
        <f t="shared" si="131"/>
        <v>https://kokusho.nijl.ac.jp/biblio/100232367/220</v>
      </c>
      <c r="E1793" s="22"/>
      <c r="F1793" s="22"/>
      <c r="G1793" s="22"/>
    </row>
    <row r="1794" spans="1:7" x14ac:dyDescent="0.15">
      <c r="A1794" s="19" t="s">
        <v>6767</v>
      </c>
      <c r="B1794" s="25" t="s">
        <v>7697</v>
      </c>
      <c r="C1794" s="22"/>
      <c r="D1794" s="26" t="str">
        <f t="shared" si="131"/>
        <v>https://kokusho.nijl.ac.jp/biblio/100232367/220</v>
      </c>
      <c r="E1794" s="22"/>
      <c r="F1794" s="22"/>
      <c r="G1794" s="22"/>
    </row>
    <row r="1795" spans="1:7" x14ac:dyDescent="0.15">
      <c r="A1795" s="19" t="s">
        <v>6767</v>
      </c>
      <c r="B1795" s="25" t="s">
        <v>7698</v>
      </c>
      <c r="C1795" s="22"/>
      <c r="D1795" s="26" t="str">
        <f t="shared" si="131"/>
        <v>https://kokusho.nijl.ac.jp/biblio/100232367/220</v>
      </c>
      <c r="E1795" s="22"/>
      <c r="F1795" s="22"/>
      <c r="G1795" s="22"/>
    </row>
    <row r="1796" spans="1:7" x14ac:dyDescent="0.15">
      <c r="A1796" s="19" t="s">
        <v>6767</v>
      </c>
      <c r="B1796" s="25" t="s">
        <v>7699</v>
      </c>
      <c r="C1796" s="22"/>
      <c r="D1796" s="26" t="str">
        <f t="shared" si="131"/>
        <v>https://kokusho.nijl.ac.jp/biblio/100232367/220</v>
      </c>
      <c r="E1796" s="22"/>
      <c r="F1796" s="22"/>
      <c r="G1796" s="22"/>
    </row>
    <row r="1797" spans="1:7" x14ac:dyDescent="0.15">
      <c r="A1797" s="19" t="s">
        <v>6767</v>
      </c>
      <c r="B1797" s="25" t="s">
        <v>7700</v>
      </c>
      <c r="C1797" s="22"/>
      <c r="D1797" s="26" t="str">
        <f t="shared" si="131"/>
        <v>https://kokusho.nijl.ac.jp/biblio/100232367/220</v>
      </c>
      <c r="E1797" s="22"/>
      <c r="F1797" s="22"/>
      <c r="G1797" s="22"/>
    </row>
    <row r="1798" spans="1:7" x14ac:dyDescent="0.15">
      <c r="A1798" s="19" t="s">
        <v>6767</v>
      </c>
      <c r="B1798" s="25" t="s">
        <v>7701</v>
      </c>
      <c r="C1798" s="22"/>
      <c r="D1798" s="26" t="str">
        <f>HYPERLINK("https://kokusho.nijl.ac.jp/biblio/100232367/221")</f>
        <v>https://kokusho.nijl.ac.jp/biblio/100232367/221</v>
      </c>
      <c r="E1798" s="22"/>
      <c r="F1798" s="22"/>
      <c r="G1798" s="22"/>
    </row>
    <row r="1799" spans="1:7" x14ac:dyDescent="0.15">
      <c r="A1799" s="19" t="s">
        <v>6767</v>
      </c>
      <c r="B1799" s="25" t="s">
        <v>7702</v>
      </c>
      <c r="C1799" s="22"/>
      <c r="D1799" s="26" t="str">
        <f>HYPERLINK("https://kokusho.nijl.ac.jp/biblio/100232367/221")</f>
        <v>https://kokusho.nijl.ac.jp/biblio/100232367/221</v>
      </c>
      <c r="E1799" s="22"/>
      <c r="F1799" s="22"/>
      <c r="G1799" s="22"/>
    </row>
    <row r="1800" spans="1:7" x14ac:dyDescent="0.15">
      <c r="A1800" s="19" t="s">
        <v>6767</v>
      </c>
      <c r="B1800" s="25" t="s">
        <v>7703</v>
      </c>
      <c r="C1800" s="22"/>
      <c r="D1800" s="26" t="str">
        <f>HYPERLINK("https://kokusho.nijl.ac.jp/biblio/100232367/221")</f>
        <v>https://kokusho.nijl.ac.jp/biblio/100232367/221</v>
      </c>
      <c r="E1800" s="22"/>
      <c r="F1800" s="22"/>
      <c r="G1800" s="22"/>
    </row>
    <row r="1801" spans="1:7" x14ac:dyDescent="0.15">
      <c r="A1801" s="19" t="s">
        <v>6767</v>
      </c>
      <c r="B1801" s="25" t="s">
        <v>7704</v>
      </c>
      <c r="C1801" s="22"/>
      <c r="D1801" s="26" t="str">
        <f>HYPERLINK("https://kokusho.nijl.ac.jp/biblio/100232367/221")</f>
        <v>https://kokusho.nijl.ac.jp/biblio/100232367/221</v>
      </c>
      <c r="E1801" s="22"/>
      <c r="F1801" s="22"/>
      <c r="G1801" s="22"/>
    </row>
    <row r="1802" spans="1:7" x14ac:dyDescent="0.15">
      <c r="A1802" s="19" t="s">
        <v>6767</v>
      </c>
      <c r="B1802" s="25" t="s">
        <v>7705</v>
      </c>
      <c r="C1802" s="22"/>
      <c r="D1802" s="26" t="str">
        <f>HYPERLINK("https://kokusho.nijl.ac.jp/biblio/100232367/222")</f>
        <v>https://kokusho.nijl.ac.jp/biblio/100232367/222</v>
      </c>
      <c r="E1802" s="22"/>
      <c r="F1802" s="22"/>
      <c r="G1802" s="22"/>
    </row>
    <row r="1803" spans="1:7" x14ac:dyDescent="0.15">
      <c r="A1803" s="19" t="s">
        <v>6767</v>
      </c>
      <c r="B1803" s="25" t="s">
        <v>7706</v>
      </c>
      <c r="C1803" s="22"/>
      <c r="D1803" s="26" t="str">
        <f>HYPERLINK("https://kokusho.nijl.ac.jp/biblio/100232367/222")</f>
        <v>https://kokusho.nijl.ac.jp/biblio/100232367/222</v>
      </c>
      <c r="E1803" s="22"/>
      <c r="F1803" s="22"/>
      <c r="G1803" s="22"/>
    </row>
    <row r="1804" spans="1:7" x14ac:dyDescent="0.15">
      <c r="A1804" s="19" t="s">
        <v>6767</v>
      </c>
      <c r="B1804" s="25" t="s">
        <v>5881</v>
      </c>
      <c r="C1804" s="22"/>
      <c r="D1804" s="26" t="str">
        <f>HYPERLINK("https://kokusho.nijl.ac.jp/biblio/100232367/222")</f>
        <v>https://kokusho.nijl.ac.jp/biblio/100232367/222</v>
      </c>
      <c r="E1804" s="22"/>
      <c r="F1804" s="22"/>
      <c r="G1804" s="22"/>
    </row>
    <row r="1805" spans="1:7" x14ac:dyDescent="0.15">
      <c r="A1805" s="19" t="s">
        <v>6767</v>
      </c>
      <c r="B1805" s="25" t="s">
        <v>7707</v>
      </c>
      <c r="C1805" s="22"/>
      <c r="D1805" s="26" t="str">
        <f>HYPERLINK("https://kokusho.nijl.ac.jp/biblio/100232367/222")</f>
        <v>https://kokusho.nijl.ac.jp/biblio/100232367/222</v>
      </c>
      <c r="E1805" s="22"/>
      <c r="F1805" s="22"/>
      <c r="G1805" s="22"/>
    </row>
    <row r="1806" spans="1:7" x14ac:dyDescent="0.15">
      <c r="A1806" s="19" t="s">
        <v>6767</v>
      </c>
      <c r="B1806" s="25" t="s">
        <v>7708</v>
      </c>
      <c r="C1806" s="22"/>
      <c r="D1806" s="26" t="str">
        <f t="shared" ref="D1806:D1812" si="132">HYPERLINK("https://kokusho.nijl.ac.jp/biblio/100232367/223")</f>
        <v>https://kokusho.nijl.ac.jp/biblio/100232367/223</v>
      </c>
      <c r="E1806" s="22"/>
      <c r="F1806" s="22"/>
      <c r="G1806" s="22"/>
    </row>
    <row r="1807" spans="1:7" x14ac:dyDescent="0.15">
      <c r="A1807" s="19" t="s">
        <v>6767</v>
      </c>
      <c r="B1807" s="25" t="s">
        <v>7709</v>
      </c>
      <c r="C1807" s="22"/>
      <c r="D1807" s="26" t="str">
        <f t="shared" si="132"/>
        <v>https://kokusho.nijl.ac.jp/biblio/100232367/223</v>
      </c>
      <c r="E1807" s="22"/>
      <c r="F1807" s="22"/>
      <c r="G1807" s="22"/>
    </row>
    <row r="1808" spans="1:7" x14ac:dyDescent="0.15">
      <c r="A1808" s="19" t="s">
        <v>6767</v>
      </c>
      <c r="B1808" s="25" t="s">
        <v>7710</v>
      </c>
      <c r="C1808" s="22"/>
      <c r="D1808" s="26" t="str">
        <f t="shared" si="132"/>
        <v>https://kokusho.nijl.ac.jp/biblio/100232367/223</v>
      </c>
      <c r="E1808" s="22"/>
      <c r="F1808" s="22"/>
      <c r="G1808" s="22"/>
    </row>
    <row r="1809" spans="1:7" x14ac:dyDescent="0.15">
      <c r="A1809" s="19" t="s">
        <v>6767</v>
      </c>
      <c r="B1809" s="25" t="s">
        <v>7711</v>
      </c>
      <c r="C1809" s="22"/>
      <c r="D1809" s="26" t="str">
        <f t="shared" si="132"/>
        <v>https://kokusho.nijl.ac.jp/biblio/100232367/223</v>
      </c>
      <c r="E1809" s="22"/>
      <c r="F1809" s="22"/>
      <c r="G1809" s="22"/>
    </row>
    <row r="1810" spans="1:7" x14ac:dyDescent="0.15">
      <c r="A1810" s="19" t="s">
        <v>6767</v>
      </c>
      <c r="B1810" s="25" t="s">
        <v>7712</v>
      </c>
      <c r="C1810" s="22"/>
      <c r="D1810" s="26" t="str">
        <f t="shared" si="132"/>
        <v>https://kokusho.nijl.ac.jp/biblio/100232367/223</v>
      </c>
      <c r="E1810" s="22"/>
      <c r="F1810" s="22"/>
      <c r="G1810" s="22"/>
    </row>
    <row r="1811" spans="1:7" x14ac:dyDescent="0.15">
      <c r="A1811" s="19" t="s">
        <v>6767</v>
      </c>
      <c r="B1811" s="25" t="s">
        <v>7713</v>
      </c>
      <c r="C1811" s="22"/>
      <c r="D1811" s="26" t="str">
        <f t="shared" si="132"/>
        <v>https://kokusho.nijl.ac.jp/biblio/100232367/223</v>
      </c>
      <c r="E1811" s="22"/>
      <c r="F1811" s="22"/>
      <c r="G1811" s="22"/>
    </row>
    <row r="1812" spans="1:7" x14ac:dyDescent="0.15">
      <c r="A1812" s="19" t="s">
        <v>6767</v>
      </c>
      <c r="B1812" s="25" t="s">
        <v>7714</v>
      </c>
      <c r="C1812" s="22"/>
      <c r="D1812" s="26" t="str">
        <f t="shared" si="132"/>
        <v>https://kokusho.nijl.ac.jp/biblio/100232367/223</v>
      </c>
      <c r="E1812" s="22"/>
      <c r="F1812" s="22"/>
      <c r="G1812" s="22"/>
    </row>
    <row r="1813" spans="1:7" x14ac:dyDescent="0.15">
      <c r="A1813" s="19" t="s">
        <v>6767</v>
      </c>
      <c r="B1813" s="25" t="s">
        <v>7715</v>
      </c>
      <c r="C1813" s="22"/>
      <c r="D1813" s="26" t="str">
        <f t="shared" ref="D1813:D1821" si="133">HYPERLINK("https://kokusho.nijl.ac.jp/biblio/100232367/224")</f>
        <v>https://kokusho.nijl.ac.jp/biblio/100232367/224</v>
      </c>
      <c r="E1813" s="22"/>
      <c r="F1813" s="22"/>
      <c r="G1813" s="22"/>
    </row>
    <row r="1814" spans="1:7" x14ac:dyDescent="0.15">
      <c r="A1814" s="19" t="s">
        <v>6767</v>
      </c>
      <c r="B1814" s="25" t="s">
        <v>7716</v>
      </c>
      <c r="C1814" s="22"/>
      <c r="D1814" s="26" t="str">
        <f t="shared" si="133"/>
        <v>https://kokusho.nijl.ac.jp/biblio/100232367/224</v>
      </c>
      <c r="E1814" s="22"/>
      <c r="F1814" s="22"/>
      <c r="G1814" s="22"/>
    </row>
    <row r="1815" spans="1:7" x14ac:dyDescent="0.15">
      <c r="A1815" s="19" t="s">
        <v>6767</v>
      </c>
      <c r="B1815" s="25" t="s">
        <v>5849</v>
      </c>
      <c r="C1815" s="22"/>
      <c r="D1815" s="26" t="str">
        <f t="shared" si="133"/>
        <v>https://kokusho.nijl.ac.jp/biblio/100232367/224</v>
      </c>
      <c r="E1815" s="22"/>
      <c r="F1815" s="22"/>
      <c r="G1815" s="22"/>
    </row>
    <row r="1816" spans="1:7" x14ac:dyDescent="0.15">
      <c r="A1816" s="19" t="s">
        <v>6767</v>
      </c>
      <c r="B1816" s="25" t="s">
        <v>7717</v>
      </c>
      <c r="C1816" s="22"/>
      <c r="D1816" s="26" t="str">
        <f t="shared" si="133"/>
        <v>https://kokusho.nijl.ac.jp/biblio/100232367/224</v>
      </c>
      <c r="E1816" s="22"/>
      <c r="F1816" s="22"/>
      <c r="G1816" s="22"/>
    </row>
    <row r="1817" spans="1:7" x14ac:dyDescent="0.15">
      <c r="A1817" s="19" t="s">
        <v>6767</v>
      </c>
      <c r="B1817" s="25" t="s">
        <v>7718</v>
      </c>
      <c r="C1817" s="22"/>
      <c r="D1817" s="26" t="str">
        <f t="shared" si="133"/>
        <v>https://kokusho.nijl.ac.jp/biblio/100232367/224</v>
      </c>
      <c r="E1817" s="22"/>
      <c r="F1817" s="22"/>
      <c r="G1817" s="22"/>
    </row>
    <row r="1818" spans="1:7" x14ac:dyDescent="0.15">
      <c r="A1818" s="19" t="s">
        <v>6767</v>
      </c>
      <c r="B1818" s="25" t="s">
        <v>7719</v>
      </c>
      <c r="C1818" s="22"/>
      <c r="D1818" s="26" t="str">
        <f t="shared" si="133"/>
        <v>https://kokusho.nijl.ac.jp/biblio/100232367/224</v>
      </c>
      <c r="E1818" s="22"/>
      <c r="F1818" s="22"/>
      <c r="G1818" s="22"/>
    </row>
    <row r="1819" spans="1:7" x14ac:dyDescent="0.15">
      <c r="A1819" s="19" t="s">
        <v>6767</v>
      </c>
      <c r="B1819" s="25" t="s">
        <v>7720</v>
      </c>
      <c r="C1819" s="22"/>
      <c r="D1819" s="26" t="str">
        <f t="shared" si="133"/>
        <v>https://kokusho.nijl.ac.jp/biblio/100232367/224</v>
      </c>
      <c r="E1819" s="22"/>
      <c r="F1819" s="22"/>
      <c r="G1819" s="22"/>
    </row>
    <row r="1820" spans="1:7" x14ac:dyDescent="0.15">
      <c r="A1820" s="19" t="s">
        <v>6767</v>
      </c>
      <c r="B1820" s="25" t="s">
        <v>7721</v>
      </c>
      <c r="C1820" s="22"/>
      <c r="D1820" s="26" t="str">
        <f t="shared" si="133"/>
        <v>https://kokusho.nijl.ac.jp/biblio/100232367/224</v>
      </c>
      <c r="E1820" s="22"/>
      <c r="F1820" s="22"/>
      <c r="G1820" s="22"/>
    </row>
    <row r="1821" spans="1:7" x14ac:dyDescent="0.15">
      <c r="A1821" s="19" t="s">
        <v>6767</v>
      </c>
      <c r="B1821" s="25" t="s">
        <v>7722</v>
      </c>
      <c r="C1821" s="22"/>
      <c r="D1821" s="26" t="str">
        <f t="shared" si="133"/>
        <v>https://kokusho.nijl.ac.jp/biblio/100232367/224</v>
      </c>
      <c r="E1821" s="22"/>
      <c r="F1821" s="22"/>
      <c r="G1821" s="22"/>
    </row>
    <row r="1822" spans="1:7" x14ac:dyDescent="0.15">
      <c r="A1822" s="19" t="s">
        <v>6767</v>
      </c>
      <c r="B1822" s="25" t="s">
        <v>7723</v>
      </c>
      <c r="C1822" s="22"/>
      <c r="D1822" s="26" t="str">
        <f t="shared" ref="D1822:D1831" si="134">HYPERLINK("https://kokusho.nijl.ac.jp/biblio/100232367/225")</f>
        <v>https://kokusho.nijl.ac.jp/biblio/100232367/225</v>
      </c>
      <c r="E1822" s="22"/>
      <c r="F1822" s="22"/>
      <c r="G1822" s="22"/>
    </row>
    <row r="1823" spans="1:7" x14ac:dyDescent="0.15">
      <c r="A1823" s="19" t="s">
        <v>6767</v>
      </c>
      <c r="B1823" s="25" t="s">
        <v>7724</v>
      </c>
      <c r="C1823" s="22"/>
      <c r="D1823" s="26" t="str">
        <f t="shared" si="134"/>
        <v>https://kokusho.nijl.ac.jp/biblio/100232367/225</v>
      </c>
      <c r="E1823" s="22"/>
      <c r="F1823" s="22"/>
      <c r="G1823" s="22"/>
    </row>
    <row r="1824" spans="1:7" x14ac:dyDescent="0.15">
      <c r="A1824" s="19" t="s">
        <v>6767</v>
      </c>
      <c r="B1824" s="25" t="s">
        <v>7725</v>
      </c>
      <c r="C1824" s="22"/>
      <c r="D1824" s="26" t="str">
        <f t="shared" si="134"/>
        <v>https://kokusho.nijl.ac.jp/biblio/100232367/225</v>
      </c>
      <c r="E1824" s="22"/>
      <c r="F1824" s="22"/>
      <c r="G1824" s="22"/>
    </row>
    <row r="1825" spans="1:7" x14ac:dyDescent="0.15">
      <c r="A1825" s="19" t="s">
        <v>6767</v>
      </c>
      <c r="B1825" s="25" t="s">
        <v>7726</v>
      </c>
      <c r="C1825" s="22"/>
      <c r="D1825" s="26" t="str">
        <f t="shared" si="134"/>
        <v>https://kokusho.nijl.ac.jp/biblio/100232367/225</v>
      </c>
      <c r="E1825" s="22"/>
      <c r="F1825" s="22"/>
      <c r="G1825" s="22"/>
    </row>
    <row r="1826" spans="1:7" x14ac:dyDescent="0.15">
      <c r="A1826" s="19" t="s">
        <v>6767</v>
      </c>
      <c r="B1826" s="25" t="s">
        <v>7727</v>
      </c>
      <c r="C1826" s="22"/>
      <c r="D1826" s="26" t="str">
        <f t="shared" si="134"/>
        <v>https://kokusho.nijl.ac.jp/biblio/100232367/225</v>
      </c>
      <c r="E1826" s="22"/>
      <c r="F1826" s="22"/>
      <c r="G1826" s="22"/>
    </row>
    <row r="1827" spans="1:7" x14ac:dyDescent="0.15">
      <c r="A1827" s="19" t="s">
        <v>6767</v>
      </c>
      <c r="B1827" s="25" t="s">
        <v>7728</v>
      </c>
      <c r="C1827" s="22"/>
      <c r="D1827" s="26" t="str">
        <f t="shared" si="134"/>
        <v>https://kokusho.nijl.ac.jp/biblio/100232367/225</v>
      </c>
      <c r="E1827" s="22"/>
      <c r="F1827" s="22"/>
      <c r="G1827" s="22"/>
    </row>
    <row r="1828" spans="1:7" x14ac:dyDescent="0.15">
      <c r="A1828" s="19" t="s">
        <v>6767</v>
      </c>
      <c r="B1828" s="25" t="s">
        <v>7729</v>
      </c>
      <c r="C1828" s="22"/>
      <c r="D1828" s="26" t="str">
        <f t="shared" si="134"/>
        <v>https://kokusho.nijl.ac.jp/biblio/100232367/225</v>
      </c>
      <c r="E1828" s="22"/>
      <c r="F1828" s="22"/>
      <c r="G1828" s="22"/>
    </row>
    <row r="1829" spans="1:7" x14ac:dyDescent="0.15">
      <c r="A1829" s="19" t="s">
        <v>6767</v>
      </c>
      <c r="B1829" s="25" t="s">
        <v>7730</v>
      </c>
      <c r="C1829" s="22"/>
      <c r="D1829" s="26" t="str">
        <f t="shared" si="134"/>
        <v>https://kokusho.nijl.ac.jp/biblio/100232367/225</v>
      </c>
      <c r="E1829" s="22"/>
      <c r="F1829" s="22"/>
      <c r="G1829" s="22"/>
    </row>
    <row r="1830" spans="1:7" x14ac:dyDescent="0.15">
      <c r="A1830" s="19" t="s">
        <v>6767</v>
      </c>
      <c r="B1830" s="25" t="s">
        <v>7731</v>
      </c>
      <c r="C1830" s="22"/>
      <c r="D1830" s="26" t="str">
        <f t="shared" si="134"/>
        <v>https://kokusho.nijl.ac.jp/biblio/100232367/225</v>
      </c>
      <c r="E1830" s="22"/>
      <c r="F1830" s="22"/>
      <c r="G1830" s="22"/>
    </row>
    <row r="1831" spans="1:7" x14ac:dyDescent="0.15">
      <c r="A1831" s="19" t="s">
        <v>6767</v>
      </c>
      <c r="B1831" s="25" t="s">
        <v>7732</v>
      </c>
      <c r="C1831" s="22"/>
      <c r="D1831" s="26" t="str">
        <f t="shared" si="134"/>
        <v>https://kokusho.nijl.ac.jp/biblio/100232367/225</v>
      </c>
      <c r="E1831" s="22"/>
      <c r="F1831" s="22"/>
      <c r="G1831" s="22"/>
    </row>
    <row r="1832" spans="1:7" x14ac:dyDescent="0.15">
      <c r="A1832" s="19" t="s">
        <v>6767</v>
      </c>
      <c r="B1832" s="25" t="s">
        <v>7733</v>
      </c>
      <c r="C1832" s="22"/>
      <c r="D1832" s="26" t="str">
        <f t="shared" ref="D1832:D1839" si="135">HYPERLINK("https://kokusho.nijl.ac.jp/biblio/100232367/226")</f>
        <v>https://kokusho.nijl.ac.jp/biblio/100232367/226</v>
      </c>
      <c r="E1832" s="22"/>
      <c r="F1832" s="22"/>
      <c r="G1832" s="22"/>
    </row>
    <row r="1833" spans="1:7" x14ac:dyDescent="0.15">
      <c r="A1833" s="19" t="s">
        <v>6767</v>
      </c>
      <c r="B1833" s="25" t="s">
        <v>7734</v>
      </c>
      <c r="C1833" s="22"/>
      <c r="D1833" s="26" t="str">
        <f t="shared" si="135"/>
        <v>https://kokusho.nijl.ac.jp/biblio/100232367/226</v>
      </c>
      <c r="E1833" s="22"/>
      <c r="F1833" s="22"/>
      <c r="G1833" s="22"/>
    </row>
    <row r="1834" spans="1:7" x14ac:dyDescent="0.15">
      <c r="A1834" s="19" t="s">
        <v>6767</v>
      </c>
      <c r="B1834" s="25" t="s">
        <v>7735</v>
      </c>
      <c r="C1834" s="22"/>
      <c r="D1834" s="26" t="str">
        <f t="shared" si="135"/>
        <v>https://kokusho.nijl.ac.jp/biblio/100232367/226</v>
      </c>
      <c r="E1834" s="22"/>
      <c r="F1834" s="22"/>
      <c r="G1834" s="22"/>
    </row>
    <row r="1835" spans="1:7" x14ac:dyDescent="0.15">
      <c r="A1835" s="19" t="s">
        <v>6767</v>
      </c>
      <c r="B1835" s="25" t="s">
        <v>7736</v>
      </c>
      <c r="C1835" s="22"/>
      <c r="D1835" s="26" t="str">
        <f t="shared" si="135"/>
        <v>https://kokusho.nijl.ac.jp/biblio/100232367/226</v>
      </c>
      <c r="E1835" s="22"/>
      <c r="F1835" s="22"/>
      <c r="G1835" s="22"/>
    </row>
    <row r="1836" spans="1:7" x14ac:dyDescent="0.15">
      <c r="A1836" s="19" t="s">
        <v>6767</v>
      </c>
      <c r="B1836" s="25" t="s">
        <v>7737</v>
      </c>
      <c r="C1836" s="22"/>
      <c r="D1836" s="26" t="str">
        <f t="shared" si="135"/>
        <v>https://kokusho.nijl.ac.jp/biblio/100232367/226</v>
      </c>
      <c r="E1836" s="22"/>
      <c r="F1836" s="22"/>
      <c r="G1836" s="22"/>
    </row>
    <row r="1837" spans="1:7" x14ac:dyDescent="0.15">
      <c r="A1837" s="19" t="s">
        <v>6767</v>
      </c>
      <c r="B1837" s="25" t="s">
        <v>7738</v>
      </c>
      <c r="C1837" s="22"/>
      <c r="D1837" s="26" t="str">
        <f t="shared" si="135"/>
        <v>https://kokusho.nijl.ac.jp/biblio/100232367/226</v>
      </c>
      <c r="E1837" s="22"/>
      <c r="F1837" s="22"/>
      <c r="G1837" s="22"/>
    </row>
    <row r="1838" spans="1:7" x14ac:dyDescent="0.15">
      <c r="A1838" s="19" t="s">
        <v>6767</v>
      </c>
      <c r="B1838" s="25" t="s">
        <v>7739</v>
      </c>
      <c r="C1838" s="22"/>
      <c r="D1838" s="26" t="str">
        <f t="shared" si="135"/>
        <v>https://kokusho.nijl.ac.jp/biblio/100232367/226</v>
      </c>
      <c r="E1838" s="22"/>
      <c r="F1838" s="22"/>
      <c r="G1838" s="22"/>
    </row>
    <row r="1839" spans="1:7" x14ac:dyDescent="0.15">
      <c r="A1839" s="19" t="s">
        <v>6767</v>
      </c>
      <c r="B1839" s="25" t="s">
        <v>7740</v>
      </c>
      <c r="C1839" s="22"/>
      <c r="D1839" s="26" t="str">
        <f t="shared" si="135"/>
        <v>https://kokusho.nijl.ac.jp/biblio/100232367/226</v>
      </c>
      <c r="E1839" s="22"/>
      <c r="F1839" s="22"/>
      <c r="G1839" s="22"/>
    </row>
    <row r="1840" spans="1:7" x14ac:dyDescent="0.15">
      <c r="A1840" s="19" t="s">
        <v>6767</v>
      </c>
      <c r="B1840" s="25" t="s">
        <v>7741</v>
      </c>
      <c r="C1840" s="22"/>
      <c r="D1840" s="26" t="str">
        <f>HYPERLINK("https://kokusho.nijl.ac.jp/biblio/100232367/227")</f>
        <v>https://kokusho.nijl.ac.jp/biblio/100232367/227</v>
      </c>
      <c r="E1840" s="22"/>
      <c r="F1840" s="22"/>
      <c r="G1840" s="22"/>
    </row>
    <row r="1841" spans="1:7" x14ac:dyDescent="0.15">
      <c r="A1841" s="19" t="s">
        <v>6767</v>
      </c>
      <c r="B1841" s="25" t="s">
        <v>7742</v>
      </c>
      <c r="C1841" s="22"/>
      <c r="D1841" s="26" t="str">
        <f>HYPERLINK("https://kokusho.nijl.ac.jp/biblio/100232367/227")</f>
        <v>https://kokusho.nijl.ac.jp/biblio/100232367/227</v>
      </c>
      <c r="E1841" s="22"/>
      <c r="F1841" s="22"/>
      <c r="G1841" s="22"/>
    </row>
    <row r="1842" spans="1:7" x14ac:dyDescent="0.15">
      <c r="A1842" s="19" t="s">
        <v>6767</v>
      </c>
      <c r="B1842" s="25" t="s">
        <v>7743</v>
      </c>
      <c r="C1842" s="22"/>
      <c r="D1842" s="26" t="str">
        <f>HYPERLINK("https://kokusho.nijl.ac.jp/biblio/100232367/227")</f>
        <v>https://kokusho.nijl.ac.jp/biblio/100232367/227</v>
      </c>
      <c r="E1842" s="22"/>
      <c r="F1842" s="22"/>
      <c r="G1842" s="22"/>
    </row>
    <row r="1843" spans="1:7" x14ac:dyDescent="0.15">
      <c r="A1843" s="19" t="s">
        <v>6767</v>
      </c>
      <c r="B1843" s="25" t="s">
        <v>7744</v>
      </c>
      <c r="C1843" s="22"/>
      <c r="D1843" s="26" t="str">
        <f>HYPERLINK("https://kokusho.nijl.ac.jp/biblio/100232367/227")</f>
        <v>https://kokusho.nijl.ac.jp/biblio/100232367/227</v>
      </c>
      <c r="E1843" s="22"/>
      <c r="F1843" s="22"/>
      <c r="G1843" s="22"/>
    </row>
    <row r="1844" spans="1:7" x14ac:dyDescent="0.15">
      <c r="A1844" s="19" t="s">
        <v>6767</v>
      </c>
      <c r="B1844" s="25" t="s">
        <v>7745</v>
      </c>
      <c r="C1844" s="22"/>
      <c r="D1844" s="26" t="str">
        <f>HYPERLINK("https://kokusho.nijl.ac.jp/biblio/100232367/228")</f>
        <v>https://kokusho.nijl.ac.jp/biblio/100232367/228</v>
      </c>
      <c r="E1844" s="22"/>
      <c r="F1844" s="22"/>
      <c r="G1844" s="22"/>
    </row>
    <row r="1845" spans="1:7" x14ac:dyDescent="0.15">
      <c r="A1845" s="19" t="s">
        <v>6767</v>
      </c>
      <c r="B1845" s="25" t="s">
        <v>7746</v>
      </c>
      <c r="C1845" s="22"/>
      <c r="D1845" s="26" t="str">
        <f>HYPERLINK("https://kokusho.nijl.ac.jp/biblio/100232367/228")</f>
        <v>https://kokusho.nijl.ac.jp/biblio/100232367/228</v>
      </c>
      <c r="E1845" s="22"/>
      <c r="F1845" s="22"/>
      <c r="G1845" s="22"/>
    </row>
    <row r="1846" spans="1:7" x14ac:dyDescent="0.15">
      <c r="A1846" s="19" t="s">
        <v>6767</v>
      </c>
      <c r="B1846" s="25" t="s">
        <v>7747</v>
      </c>
      <c r="C1846" s="22"/>
      <c r="D1846" s="26" t="str">
        <f t="shared" ref="D1846:D1855" si="136">HYPERLINK("https://kokusho.nijl.ac.jp/biblio/100232367/229")</f>
        <v>https://kokusho.nijl.ac.jp/biblio/100232367/229</v>
      </c>
      <c r="E1846" s="22"/>
      <c r="F1846" s="22"/>
      <c r="G1846" s="22"/>
    </row>
    <row r="1847" spans="1:7" x14ac:dyDescent="0.15">
      <c r="A1847" s="19" t="s">
        <v>6767</v>
      </c>
      <c r="B1847" s="25" t="s">
        <v>7748</v>
      </c>
      <c r="C1847" s="22"/>
      <c r="D1847" s="26" t="str">
        <f t="shared" si="136"/>
        <v>https://kokusho.nijl.ac.jp/biblio/100232367/229</v>
      </c>
      <c r="E1847" s="22"/>
      <c r="F1847" s="22"/>
      <c r="G1847" s="22"/>
    </row>
    <row r="1848" spans="1:7" ht="40.5" x14ac:dyDescent="0.15">
      <c r="A1848" s="19" t="s">
        <v>6767</v>
      </c>
      <c r="B1848" s="25" t="s">
        <v>7749</v>
      </c>
      <c r="C1848" s="22"/>
      <c r="D1848" s="26" t="str">
        <f t="shared" si="136"/>
        <v>https://kokusho.nijl.ac.jp/biblio/100232367/229</v>
      </c>
      <c r="E1848" s="22"/>
      <c r="F1848" s="22"/>
      <c r="G1848" s="22"/>
    </row>
    <row r="1849" spans="1:7" x14ac:dyDescent="0.15">
      <c r="A1849" s="19" t="s">
        <v>6767</v>
      </c>
      <c r="B1849" s="25" t="s">
        <v>7750</v>
      </c>
      <c r="C1849" s="22"/>
      <c r="D1849" s="26" t="str">
        <f t="shared" si="136"/>
        <v>https://kokusho.nijl.ac.jp/biblio/100232367/229</v>
      </c>
      <c r="E1849" s="22"/>
      <c r="F1849" s="22"/>
      <c r="G1849" s="22"/>
    </row>
    <row r="1850" spans="1:7" ht="40.5" x14ac:dyDescent="0.15">
      <c r="A1850" s="19" t="s">
        <v>6767</v>
      </c>
      <c r="B1850" s="25" t="s">
        <v>7751</v>
      </c>
      <c r="C1850" s="22"/>
      <c r="D1850" s="26" t="str">
        <f t="shared" si="136"/>
        <v>https://kokusho.nijl.ac.jp/biblio/100232367/229</v>
      </c>
      <c r="E1850" s="22"/>
      <c r="F1850" s="22"/>
      <c r="G1850" s="22"/>
    </row>
    <row r="1851" spans="1:7" ht="40.5" x14ac:dyDescent="0.15">
      <c r="A1851" s="19" t="s">
        <v>6767</v>
      </c>
      <c r="B1851" s="25" t="s">
        <v>7752</v>
      </c>
      <c r="C1851" s="22"/>
      <c r="D1851" s="26" t="str">
        <f t="shared" si="136"/>
        <v>https://kokusho.nijl.ac.jp/biblio/100232367/229</v>
      </c>
      <c r="E1851" s="22"/>
      <c r="F1851" s="22"/>
      <c r="G1851" s="22"/>
    </row>
    <row r="1852" spans="1:7" x14ac:dyDescent="0.15">
      <c r="A1852" s="19" t="s">
        <v>6767</v>
      </c>
      <c r="B1852" s="25" t="s">
        <v>7753</v>
      </c>
      <c r="C1852" s="22"/>
      <c r="D1852" s="26" t="str">
        <f t="shared" si="136"/>
        <v>https://kokusho.nijl.ac.jp/biblio/100232367/229</v>
      </c>
      <c r="E1852" s="22"/>
      <c r="F1852" s="22"/>
      <c r="G1852" s="22"/>
    </row>
    <row r="1853" spans="1:7" x14ac:dyDescent="0.15">
      <c r="A1853" s="19" t="s">
        <v>6767</v>
      </c>
      <c r="B1853" s="25" t="s">
        <v>7754</v>
      </c>
      <c r="C1853" s="22"/>
      <c r="D1853" s="26" t="str">
        <f t="shared" si="136"/>
        <v>https://kokusho.nijl.ac.jp/biblio/100232367/229</v>
      </c>
      <c r="E1853" s="22"/>
      <c r="F1853" s="22"/>
      <c r="G1853" s="22"/>
    </row>
    <row r="1854" spans="1:7" x14ac:dyDescent="0.15">
      <c r="A1854" s="19" t="s">
        <v>6767</v>
      </c>
      <c r="B1854" s="25" t="s">
        <v>7755</v>
      </c>
      <c r="C1854" s="22"/>
      <c r="D1854" s="26" t="str">
        <f t="shared" si="136"/>
        <v>https://kokusho.nijl.ac.jp/biblio/100232367/229</v>
      </c>
      <c r="E1854" s="22"/>
      <c r="F1854" s="22"/>
      <c r="G1854" s="22"/>
    </row>
    <row r="1855" spans="1:7" ht="40.5" x14ac:dyDescent="0.15">
      <c r="A1855" s="19" t="s">
        <v>6767</v>
      </c>
      <c r="B1855" s="25" t="s">
        <v>7756</v>
      </c>
      <c r="C1855" s="22"/>
      <c r="D1855" s="26" t="str">
        <f t="shared" si="136"/>
        <v>https://kokusho.nijl.ac.jp/biblio/100232367/229</v>
      </c>
      <c r="E1855" s="22"/>
      <c r="F1855" s="22"/>
      <c r="G1855" s="22"/>
    </row>
    <row r="1856" spans="1:7" x14ac:dyDescent="0.15">
      <c r="A1856" s="19" t="s">
        <v>6767</v>
      </c>
      <c r="B1856" s="25" t="s">
        <v>7757</v>
      </c>
      <c r="C1856" s="22"/>
      <c r="D1856" s="26" t="str">
        <f>HYPERLINK("https://kokusho.nijl.ac.jp/biblio/100232367/230")</f>
        <v>https://kokusho.nijl.ac.jp/biblio/100232367/230</v>
      </c>
      <c r="E1856" s="22"/>
      <c r="F1856" s="22"/>
      <c r="G1856" s="22"/>
    </row>
    <row r="1857" spans="1:7" x14ac:dyDescent="0.15">
      <c r="A1857" s="19" t="s">
        <v>6767</v>
      </c>
      <c r="B1857" s="25" t="s">
        <v>7758</v>
      </c>
      <c r="C1857" s="22"/>
      <c r="D1857" s="26" t="str">
        <f t="shared" ref="D1857:D1862" si="137">HYPERLINK("https://kokusho.nijl.ac.jp/biblio/100232367/231")</f>
        <v>https://kokusho.nijl.ac.jp/biblio/100232367/231</v>
      </c>
      <c r="E1857" s="22"/>
      <c r="F1857" s="22"/>
      <c r="G1857" s="22"/>
    </row>
    <row r="1858" spans="1:7" x14ac:dyDescent="0.15">
      <c r="A1858" s="19" t="s">
        <v>6767</v>
      </c>
      <c r="B1858" s="25" t="s">
        <v>7759</v>
      </c>
      <c r="C1858" s="22"/>
      <c r="D1858" s="26" t="str">
        <f t="shared" si="137"/>
        <v>https://kokusho.nijl.ac.jp/biblio/100232367/231</v>
      </c>
      <c r="E1858" s="22"/>
      <c r="F1858" s="22"/>
      <c r="G1858" s="22"/>
    </row>
    <row r="1859" spans="1:7" x14ac:dyDescent="0.15">
      <c r="A1859" s="19" t="s">
        <v>6767</v>
      </c>
      <c r="B1859" s="25" t="s">
        <v>7760</v>
      </c>
      <c r="C1859" s="22"/>
      <c r="D1859" s="26" t="str">
        <f t="shared" si="137"/>
        <v>https://kokusho.nijl.ac.jp/biblio/100232367/231</v>
      </c>
      <c r="E1859" s="22"/>
      <c r="F1859" s="22"/>
      <c r="G1859" s="22"/>
    </row>
    <row r="1860" spans="1:7" x14ac:dyDescent="0.15">
      <c r="A1860" s="19" t="s">
        <v>6767</v>
      </c>
      <c r="B1860" s="25" t="s">
        <v>6475</v>
      </c>
      <c r="C1860" s="22"/>
      <c r="D1860" s="26" t="str">
        <f t="shared" si="137"/>
        <v>https://kokusho.nijl.ac.jp/biblio/100232367/231</v>
      </c>
      <c r="E1860" s="22"/>
      <c r="F1860" s="22"/>
      <c r="G1860" s="22"/>
    </row>
    <row r="1861" spans="1:7" x14ac:dyDescent="0.15">
      <c r="A1861" s="19" t="s">
        <v>6767</v>
      </c>
      <c r="B1861" s="25" t="s">
        <v>7761</v>
      </c>
      <c r="C1861" s="22"/>
      <c r="D1861" s="26" t="str">
        <f t="shared" si="137"/>
        <v>https://kokusho.nijl.ac.jp/biblio/100232367/231</v>
      </c>
      <c r="E1861" s="22"/>
      <c r="F1861" s="22"/>
      <c r="G1861" s="22"/>
    </row>
    <row r="1862" spans="1:7" x14ac:dyDescent="0.15">
      <c r="A1862" s="19" t="s">
        <v>6767</v>
      </c>
      <c r="B1862" s="25" t="s">
        <v>6460</v>
      </c>
      <c r="C1862" s="22"/>
      <c r="D1862" s="26" t="str">
        <f t="shared" si="137"/>
        <v>https://kokusho.nijl.ac.jp/biblio/100232367/231</v>
      </c>
      <c r="E1862" s="22"/>
      <c r="F1862" s="22"/>
      <c r="G1862" s="22"/>
    </row>
    <row r="1863" spans="1:7" x14ac:dyDescent="0.15">
      <c r="A1863" s="19" t="s">
        <v>6767</v>
      </c>
      <c r="B1863" s="25" t="s">
        <v>7762</v>
      </c>
      <c r="C1863" s="22"/>
      <c r="D1863" s="26" t="str">
        <f>HYPERLINK("https://kokusho.nijl.ac.jp/biblio/100232367/232")</f>
        <v>https://kokusho.nijl.ac.jp/biblio/100232367/232</v>
      </c>
      <c r="E1863" s="22"/>
      <c r="F1863" s="22"/>
      <c r="G1863" s="22"/>
    </row>
    <row r="1864" spans="1:7" x14ac:dyDescent="0.15">
      <c r="A1864" s="19" t="s">
        <v>6767</v>
      </c>
      <c r="B1864" s="25" t="s">
        <v>7763</v>
      </c>
      <c r="C1864" s="22"/>
      <c r="D1864" s="26" t="str">
        <f>HYPERLINK("https://kokusho.nijl.ac.jp/biblio/100232367/232")</f>
        <v>https://kokusho.nijl.ac.jp/biblio/100232367/232</v>
      </c>
      <c r="E1864" s="22"/>
      <c r="F1864" s="22"/>
      <c r="G1864" s="22"/>
    </row>
    <row r="1865" spans="1:7" x14ac:dyDescent="0.15">
      <c r="A1865" s="19" t="s">
        <v>6767</v>
      </c>
      <c r="B1865" s="25" t="s">
        <v>7764</v>
      </c>
      <c r="C1865" s="22"/>
      <c r="D1865" s="26" t="str">
        <f>HYPERLINK("https://kokusho.nijl.ac.jp/biblio/100232367/232")</f>
        <v>https://kokusho.nijl.ac.jp/biblio/100232367/232</v>
      </c>
      <c r="E1865" s="22"/>
      <c r="F1865" s="22"/>
      <c r="G1865" s="22"/>
    </row>
    <row r="1866" spans="1:7" x14ac:dyDescent="0.15">
      <c r="A1866" s="19" t="s">
        <v>6767</v>
      </c>
      <c r="B1866" s="25" t="s">
        <v>7765</v>
      </c>
      <c r="C1866" s="22"/>
      <c r="D1866" s="26" t="str">
        <f>HYPERLINK("https://kokusho.nijl.ac.jp/biblio/100232367/233")</f>
        <v>https://kokusho.nijl.ac.jp/biblio/100232367/233</v>
      </c>
      <c r="E1866" s="22"/>
      <c r="F1866" s="22"/>
      <c r="G1866" s="22"/>
    </row>
    <row r="1867" spans="1:7" x14ac:dyDescent="0.15">
      <c r="A1867" s="19" t="s">
        <v>6767</v>
      </c>
      <c r="B1867" s="25" t="s">
        <v>7766</v>
      </c>
      <c r="C1867" s="22"/>
      <c r="D1867" s="26" t="str">
        <f>HYPERLINK("https://kokusho.nijl.ac.jp/biblio/100232367/233")</f>
        <v>https://kokusho.nijl.ac.jp/biblio/100232367/233</v>
      </c>
      <c r="E1867" s="22"/>
      <c r="F1867" s="22"/>
      <c r="G1867" s="22"/>
    </row>
    <row r="1868" spans="1:7" x14ac:dyDescent="0.15">
      <c r="A1868" s="19" t="s">
        <v>6767</v>
      </c>
      <c r="B1868" s="25" t="s">
        <v>7767</v>
      </c>
      <c r="C1868" s="22"/>
      <c r="D1868" s="26" t="str">
        <f>HYPERLINK("https://kokusho.nijl.ac.jp/biblio/100232367/233")</f>
        <v>https://kokusho.nijl.ac.jp/biblio/100232367/233</v>
      </c>
      <c r="E1868" s="22"/>
      <c r="F1868" s="22"/>
      <c r="G1868" s="22"/>
    </row>
    <row r="1869" spans="1:7" x14ac:dyDescent="0.15">
      <c r="A1869" s="19" t="s">
        <v>6767</v>
      </c>
      <c r="B1869" s="25" t="s">
        <v>7768</v>
      </c>
      <c r="C1869" s="22"/>
      <c r="D1869" s="26" t="str">
        <f>HYPERLINK("https://kokusho.nijl.ac.jp/biblio/100232367/233")</f>
        <v>https://kokusho.nijl.ac.jp/biblio/100232367/233</v>
      </c>
      <c r="E1869" s="22"/>
      <c r="F1869" s="22"/>
      <c r="G1869" s="22"/>
    </row>
    <row r="1870" spans="1:7" x14ac:dyDescent="0.15">
      <c r="A1870" s="19" t="s">
        <v>6767</v>
      </c>
      <c r="B1870" s="25" t="s">
        <v>7769</v>
      </c>
      <c r="C1870" s="22"/>
      <c r="D1870" s="26" t="str">
        <f t="shared" ref="D1870:D1877" si="138">HYPERLINK("https://kokusho.nijl.ac.jp/biblio/100232367/234")</f>
        <v>https://kokusho.nijl.ac.jp/biblio/100232367/234</v>
      </c>
      <c r="E1870" s="22"/>
      <c r="F1870" s="22"/>
      <c r="G1870" s="22"/>
    </row>
    <row r="1871" spans="1:7" x14ac:dyDescent="0.15">
      <c r="A1871" s="19" t="s">
        <v>6767</v>
      </c>
      <c r="B1871" s="25" t="s">
        <v>7770</v>
      </c>
      <c r="C1871" s="22"/>
      <c r="D1871" s="26" t="str">
        <f t="shared" si="138"/>
        <v>https://kokusho.nijl.ac.jp/biblio/100232367/234</v>
      </c>
      <c r="E1871" s="22"/>
      <c r="F1871" s="22"/>
      <c r="G1871" s="22"/>
    </row>
    <row r="1872" spans="1:7" x14ac:dyDescent="0.15">
      <c r="A1872" s="19" t="s">
        <v>6767</v>
      </c>
      <c r="B1872" s="25" t="s">
        <v>7771</v>
      </c>
      <c r="C1872" s="22"/>
      <c r="D1872" s="26" t="str">
        <f t="shared" si="138"/>
        <v>https://kokusho.nijl.ac.jp/biblio/100232367/234</v>
      </c>
      <c r="E1872" s="22"/>
      <c r="F1872" s="22"/>
      <c r="G1872" s="22"/>
    </row>
    <row r="1873" spans="1:7" x14ac:dyDescent="0.15">
      <c r="A1873" s="19" t="s">
        <v>6767</v>
      </c>
      <c r="B1873" s="25" t="s">
        <v>7772</v>
      </c>
      <c r="C1873" s="22"/>
      <c r="D1873" s="26" t="str">
        <f t="shared" si="138"/>
        <v>https://kokusho.nijl.ac.jp/biblio/100232367/234</v>
      </c>
      <c r="E1873" s="22"/>
      <c r="F1873" s="22"/>
      <c r="G1873" s="22"/>
    </row>
    <row r="1874" spans="1:7" x14ac:dyDescent="0.15">
      <c r="A1874" s="19" t="s">
        <v>6767</v>
      </c>
      <c r="B1874" s="25" t="s">
        <v>7773</v>
      </c>
      <c r="C1874" s="22"/>
      <c r="D1874" s="26" t="str">
        <f t="shared" si="138"/>
        <v>https://kokusho.nijl.ac.jp/biblio/100232367/234</v>
      </c>
      <c r="E1874" s="22"/>
      <c r="F1874" s="22"/>
      <c r="G1874" s="22"/>
    </row>
    <row r="1875" spans="1:7" x14ac:dyDescent="0.15">
      <c r="A1875" s="19" t="s">
        <v>6767</v>
      </c>
      <c r="B1875" s="25" t="s">
        <v>7774</v>
      </c>
      <c r="C1875" s="22"/>
      <c r="D1875" s="26" t="str">
        <f t="shared" si="138"/>
        <v>https://kokusho.nijl.ac.jp/biblio/100232367/234</v>
      </c>
      <c r="E1875" s="22"/>
      <c r="F1875" s="22"/>
      <c r="G1875" s="22"/>
    </row>
    <row r="1876" spans="1:7" x14ac:dyDescent="0.15">
      <c r="A1876" s="19" t="s">
        <v>6767</v>
      </c>
      <c r="B1876" s="25" t="s">
        <v>7775</v>
      </c>
      <c r="C1876" s="22"/>
      <c r="D1876" s="26" t="str">
        <f t="shared" si="138"/>
        <v>https://kokusho.nijl.ac.jp/biblio/100232367/234</v>
      </c>
      <c r="E1876" s="22"/>
      <c r="F1876" s="22"/>
      <c r="G1876" s="22"/>
    </row>
    <row r="1877" spans="1:7" x14ac:dyDescent="0.15">
      <c r="A1877" s="19" t="s">
        <v>6767</v>
      </c>
      <c r="B1877" s="25" t="s">
        <v>6456</v>
      </c>
      <c r="C1877" s="22"/>
      <c r="D1877" s="26" t="str">
        <f t="shared" si="138"/>
        <v>https://kokusho.nijl.ac.jp/biblio/100232367/234</v>
      </c>
      <c r="E1877" s="22"/>
      <c r="F1877" s="22"/>
      <c r="G1877" s="22"/>
    </row>
    <row r="1878" spans="1:7" ht="18.75" x14ac:dyDescent="0.15">
      <c r="A1878" s="19" t="s">
        <v>6767</v>
      </c>
      <c r="B1878" s="25" t="s">
        <v>8964</v>
      </c>
      <c r="C1878" s="22"/>
      <c r="D1878" s="26" t="str">
        <f t="shared" ref="D1878:D1885" si="139">HYPERLINK("https://kokusho.nijl.ac.jp/biblio/100232367/235")</f>
        <v>https://kokusho.nijl.ac.jp/biblio/100232367/235</v>
      </c>
      <c r="E1878" s="22"/>
      <c r="F1878" s="22"/>
      <c r="G1878" s="22"/>
    </row>
    <row r="1879" spans="1:7" x14ac:dyDescent="0.15">
      <c r="A1879" s="19" t="s">
        <v>6767</v>
      </c>
      <c r="B1879" s="25" t="s">
        <v>7776</v>
      </c>
      <c r="C1879" s="22"/>
      <c r="D1879" s="26" t="str">
        <f t="shared" si="139"/>
        <v>https://kokusho.nijl.ac.jp/biblio/100232367/235</v>
      </c>
      <c r="E1879" s="22"/>
      <c r="F1879" s="22"/>
      <c r="G1879" s="22"/>
    </row>
    <row r="1880" spans="1:7" x14ac:dyDescent="0.15">
      <c r="A1880" s="19" t="s">
        <v>6767</v>
      </c>
      <c r="B1880" s="25" t="s">
        <v>7777</v>
      </c>
      <c r="C1880" s="22"/>
      <c r="D1880" s="26" t="str">
        <f t="shared" si="139"/>
        <v>https://kokusho.nijl.ac.jp/biblio/100232367/235</v>
      </c>
      <c r="E1880" s="22"/>
      <c r="F1880" s="22"/>
      <c r="G1880" s="22"/>
    </row>
    <row r="1881" spans="1:7" x14ac:dyDescent="0.15">
      <c r="A1881" s="19" t="s">
        <v>6767</v>
      </c>
      <c r="B1881" s="25" t="s">
        <v>6471</v>
      </c>
      <c r="C1881" s="22"/>
      <c r="D1881" s="26" t="str">
        <f t="shared" si="139"/>
        <v>https://kokusho.nijl.ac.jp/biblio/100232367/235</v>
      </c>
      <c r="E1881" s="22"/>
      <c r="F1881" s="22"/>
      <c r="G1881" s="22"/>
    </row>
    <row r="1882" spans="1:7" x14ac:dyDescent="0.15">
      <c r="A1882" s="19" t="s">
        <v>6767</v>
      </c>
      <c r="B1882" s="25" t="s">
        <v>7778</v>
      </c>
      <c r="C1882" s="22"/>
      <c r="D1882" s="26" t="str">
        <f t="shared" si="139"/>
        <v>https://kokusho.nijl.ac.jp/biblio/100232367/235</v>
      </c>
      <c r="E1882" s="22"/>
      <c r="F1882" s="22"/>
      <c r="G1882" s="22"/>
    </row>
    <row r="1883" spans="1:7" x14ac:dyDescent="0.15">
      <c r="A1883" s="19" t="s">
        <v>6767</v>
      </c>
      <c r="B1883" s="25" t="s">
        <v>7779</v>
      </c>
      <c r="C1883" s="22"/>
      <c r="D1883" s="26" t="str">
        <f t="shared" si="139"/>
        <v>https://kokusho.nijl.ac.jp/biblio/100232367/235</v>
      </c>
      <c r="E1883" s="22"/>
      <c r="F1883" s="22"/>
      <c r="G1883" s="22"/>
    </row>
    <row r="1884" spans="1:7" x14ac:dyDescent="0.15">
      <c r="A1884" s="19" t="s">
        <v>6767</v>
      </c>
      <c r="B1884" s="25" t="s">
        <v>7780</v>
      </c>
      <c r="C1884" s="22"/>
      <c r="D1884" s="26" t="str">
        <f t="shared" si="139"/>
        <v>https://kokusho.nijl.ac.jp/biblio/100232367/235</v>
      </c>
      <c r="E1884" s="22"/>
      <c r="F1884" s="22"/>
      <c r="G1884" s="22"/>
    </row>
    <row r="1885" spans="1:7" x14ac:dyDescent="0.15">
      <c r="A1885" s="19" t="s">
        <v>6767</v>
      </c>
      <c r="B1885" s="25" t="s">
        <v>7781</v>
      </c>
      <c r="C1885" s="22"/>
      <c r="D1885" s="26" t="str">
        <f t="shared" si="139"/>
        <v>https://kokusho.nijl.ac.jp/biblio/100232367/235</v>
      </c>
      <c r="E1885" s="22"/>
      <c r="F1885" s="22"/>
      <c r="G1885" s="22"/>
    </row>
    <row r="1886" spans="1:7" x14ac:dyDescent="0.15">
      <c r="A1886" s="19" t="s">
        <v>6767</v>
      </c>
      <c r="B1886" s="25" t="s">
        <v>7782</v>
      </c>
      <c r="C1886" s="22"/>
      <c r="D1886" s="26" t="str">
        <f t="shared" ref="D1886:D1891" si="140">HYPERLINK("https://kokusho.nijl.ac.jp/biblio/100232367/236")</f>
        <v>https://kokusho.nijl.ac.jp/biblio/100232367/236</v>
      </c>
      <c r="E1886" s="22"/>
      <c r="F1886" s="22"/>
      <c r="G1886" s="22"/>
    </row>
    <row r="1887" spans="1:7" x14ac:dyDescent="0.15">
      <c r="A1887" s="19" t="s">
        <v>6767</v>
      </c>
      <c r="B1887" s="25" t="s">
        <v>7783</v>
      </c>
      <c r="C1887" s="22"/>
      <c r="D1887" s="26" t="str">
        <f t="shared" si="140"/>
        <v>https://kokusho.nijl.ac.jp/biblio/100232367/236</v>
      </c>
      <c r="E1887" s="22"/>
      <c r="F1887" s="22"/>
      <c r="G1887" s="22"/>
    </row>
    <row r="1888" spans="1:7" x14ac:dyDescent="0.15">
      <c r="A1888" s="19" t="s">
        <v>6767</v>
      </c>
      <c r="B1888" s="25" t="s">
        <v>7784</v>
      </c>
      <c r="C1888" s="22"/>
      <c r="D1888" s="26" t="str">
        <f t="shared" si="140"/>
        <v>https://kokusho.nijl.ac.jp/biblio/100232367/236</v>
      </c>
      <c r="E1888" s="22"/>
      <c r="F1888" s="22"/>
      <c r="G1888" s="22"/>
    </row>
    <row r="1889" spans="1:7" x14ac:dyDescent="0.15">
      <c r="A1889" s="19" t="s">
        <v>6767</v>
      </c>
      <c r="B1889" s="25" t="s">
        <v>5781</v>
      </c>
      <c r="C1889" s="22"/>
      <c r="D1889" s="26" t="str">
        <f t="shared" si="140"/>
        <v>https://kokusho.nijl.ac.jp/biblio/100232367/236</v>
      </c>
      <c r="E1889" s="22"/>
      <c r="F1889" s="22"/>
      <c r="G1889" s="22"/>
    </row>
    <row r="1890" spans="1:7" x14ac:dyDescent="0.15">
      <c r="A1890" s="19" t="s">
        <v>6767</v>
      </c>
      <c r="B1890" s="25" t="s">
        <v>7785</v>
      </c>
      <c r="C1890" s="22"/>
      <c r="D1890" s="26" t="str">
        <f t="shared" si="140"/>
        <v>https://kokusho.nijl.ac.jp/biblio/100232367/236</v>
      </c>
      <c r="E1890" s="22"/>
      <c r="F1890" s="22"/>
      <c r="G1890" s="22"/>
    </row>
    <row r="1891" spans="1:7" x14ac:dyDescent="0.15">
      <c r="A1891" s="19" t="s">
        <v>6767</v>
      </c>
      <c r="B1891" s="25" t="s">
        <v>7786</v>
      </c>
      <c r="C1891" s="22"/>
      <c r="D1891" s="26" t="str">
        <f t="shared" si="140"/>
        <v>https://kokusho.nijl.ac.jp/biblio/100232367/236</v>
      </c>
      <c r="E1891" s="22"/>
      <c r="F1891" s="22"/>
      <c r="G1891" s="22"/>
    </row>
    <row r="1892" spans="1:7" ht="40.5" x14ac:dyDescent="0.15">
      <c r="A1892" s="19" t="s">
        <v>6767</v>
      </c>
      <c r="B1892" s="25" t="s">
        <v>7787</v>
      </c>
      <c r="C1892" s="22"/>
      <c r="D1892" s="26" t="str">
        <f t="shared" ref="D1892:D1906" si="141">HYPERLINK("https://kokusho.nijl.ac.jp/biblio/100232367/237")</f>
        <v>https://kokusho.nijl.ac.jp/biblio/100232367/237</v>
      </c>
      <c r="E1892" s="22"/>
      <c r="F1892" s="22"/>
      <c r="G1892" s="22"/>
    </row>
    <row r="1893" spans="1:7" x14ac:dyDescent="0.15">
      <c r="A1893" s="19" t="s">
        <v>6767</v>
      </c>
      <c r="B1893" s="25" t="s">
        <v>7788</v>
      </c>
      <c r="C1893" s="22"/>
      <c r="D1893" s="26" t="str">
        <f t="shared" si="141"/>
        <v>https://kokusho.nijl.ac.jp/biblio/100232367/237</v>
      </c>
      <c r="E1893" s="22"/>
      <c r="F1893" s="22"/>
      <c r="G1893" s="22"/>
    </row>
    <row r="1894" spans="1:7" x14ac:dyDescent="0.15">
      <c r="A1894" s="19" t="s">
        <v>6767</v>
      </c>
      <c r="B1894" s="25" t="s">
        <v>7789</v>
      </c>
      <c r="C1894" s="22"/>
      <c r="D1894" s="26" t="str">
        <f t="shared" si="141"/>
        <v>https://kokusho.nijl.ac.jp/biblio/100232367/237</v>
      </c>
      <c r="E1894" s="22"/>
      <c r="F1894" s="22"/>
      <c r="G1894" s="22"/>
    </row>
    <row r="1895" spans="1:7" ht="40.5" x14ac:dyDescent="0.15">
      <c r="A1895" s="19" t="s">
        <v>6767</v>
      </c>
      <c r="B1895" s="25" t="s">
        <v>7790</v>
      </c>
      <c r="C1895" s="22"/>
      <c r="D1895" s="26" t="str">
        <f t="shared" si="141"/>
        <v>https://kokusho.nijl.ac.jp/biblio/100232367/237</v>
      </c>
      <c r="E1895" s="22"/>
      <c r="F1895" s="22"/>
      <c r="G1895" s="22"/>
    </row>
    <row r="1896" spans="1:7" x14ac:dyDescent="0.15">
      <c r="A1896" s="19" t="s">
        <v>6767</v>
      </c>
      <c r="B1896" s="25" t="s">
        <v>7791</v>
      </c>
      <c r="C1896" s="22"/>
      <c r="D1896" s="26" t="str">
        <f t="shared" si="141"/>
        <v>https://kokusho.nijl.ac.jp/biblio/100232367/237</v>
      </c>
      <c r="E1896" s="22"/>
      <c r="F1896" s="22"/>
      <c r="G1896" s="22"/>
    </row>
    <row r="1897" spans="1:7" x14ac:dyDescent="0.15">
      <c r="A1897" s="19" t="s">
        <v>6767</v>
      </c>
      <c r="B1897" s="25" t="s">
        <v>5917</v>
      </c>
      <c r="C1897" s="22"/>
      <c r="D1897" s="26" t="str">
        <f t="shared" si="141"/>
        <v>https://kokusho.nijl.ac.jp/biblio/100232367/237</v>
      </c>
      <c r="E1897" s="22"/>
      <c r="F1897" s="22"/>
      <c r="G1897" s="22"/>
    </row>
    <row r="1898" spans="1:7" x14ac:dyDescent="0.15">
      <c r="A1898" s="19" t="s">
        <v>6767</v>
      </c>
      <c r="B1898" s="25" t="s">
        <v>7792</v>
      </c>
      <c r="C1898" s="22"/>
      <c r="D1898" s="26" t="str">
        <f t="shared" si="141"/>
        <v>https://kokusho.nijl.ac.jp/biblio/100232367/237</v>
      </c>
      <c r="E1898" s="22"/>
      <c r="F1898" s="22"/>
      <c r="G1898" s="22"/>
    </row>
    <row r="1899" spans="1:7" ht="40.5" x14ac:dyDescent="0.15">
      <c r="A1899" s="19" t="s">
        <v>6767</v>
      </c>
      <c r="B1899" s="25" t="s">
        <v>7793</v>
      </c>
      <c r="C1899" s="22"/>
      <c r="D1899" s="26" t="str">
        <f t="shared" si="141"/>
        <v>https://kokusho.nijl.ac.jp/biblio/100232367/237</v>
      </c>
      <c r="E1899" s="22"/>
      <c r="F1899" s="22"/>
      <c r="G1899" s="22"/>
    </row>
    <row r="1900" spans="1:7" x14ac:dyDescent="0.15">
      <c r="A1900" s="19" t="s">
        <v>6767</v>
      </c>
      <c r="B1900" s="25" t="s">
        <v>7794</v>
      </c>
      <c r="C1900" s="22"/>
      <c r="D1900" s="26" t="str">
        <f t="shared" si="141"/>
        <v>https://kokusho.nijl.ac.jp/biblio/100232367/237</v>
      </c>
      <c r="E1900" s="22"/>
      <c r="F1900" s="22"/>
      <c r="G1900" s="22"/>
    </row>
    <row r="1901" spans="1:7" x14ac:dyDescent="0.15">
      <c r="A1901" s="19" t="s">
        <v>6767</v>
      </c>
      <c r="B1901" s="25" t="s">
        <v>7795</v>
      </c>
      <c r="C1901" s="22"/>
      <c r="D1901" s="26" t="str">
        <f t="shared" si="141"/>
        <v>https://kokusho.nijl.ac.jp/biblio/100232367/237</v>
      </c>
      <c r="E1901" s="22"/>
      <c r="F1901" s="22"/>
      <c r="G1901" s="22"/>
    </row>
    <row r="1902" spans="1:7" x14ac:dyDescent="0.15">
      <c r="A1902" s="19" t="s">
        <v>6767</v>
      </c>
      <c r="B1902" s="25" t="s">
        <v>7796</v>
      </c>
      <c r="C1902" s="22"/>
      <c r="D1902" s="26" t="str">
        <f t="shared" si="141"/>
        <v>https://kokusho.nijl.ac.jp/biblio/100232367/237</v>
      </c>
      <c r="E1902" s="22"/>
      <c r="F1902" s="22"/>
      <c r="G1902" s="22"/>
    </row>
    <row r="1903" spans="1:7" ht="40.5" x14ac:dyDescent="0.15">
      <c r="A1903" s="19" t="s">
        <v>6767</v>
      </c>
      <c r="B1903" s="25" t="s">
        <v>7797</v>
      </c>
      <c r="C1903" s="22"/>
      <c r="D1903" s="26" t="str">
        <f t="shared" si="141"/>
        <v>https://kokusho.nijl.ac.jp/biblio/100232367/237</v>
      </c>
      <c r="E1903" s="22"/>
      <c r="F1903" s="22"/>
      <c r="G1903" s="22"/>
    </row>
    <row r="1904" spans="1:7" ht="40.5" x14ac:dyDescent="0.15">
      <c r="A1904" s="19" t="s">
        <v>6767</v>
      </c>
      <c r="B1904" s="25" t="s">
        <v>7798</v>
      </c>
      <c r="C1904" s="22"/>
      <c r="D1904" s="26" t="str">
        <f t="shared" si="141"/>
        <v>https://kokusho.nijl.ac.jp/biblio/100232367/237</v>
      </c>
      <c r="E1904" s="22"/>
      <c r="F1904" s="22"/>
      <c r="G1904" s="22"/>
    </row>
    <row r="1905" spans="1:7" ht="40.5" x14ac:dyDescent="0.15">
      <c r="A1905" s="19" t="s">
        <v>6767</v>
      </c>
      <c r="B1905" s="25" t="s">
        <v>7799</v>
      </c>
      <c r="C1905" s="22"/>
      <c r="D1905" s="26" t="str">
        <f t="shared" si="141"/>
        <v>https://kokusho.nijl.ac.jp/biblio/100232367/237</v>
      </c>
      <c r="E1905" s="22"/>
      <c r="F1905" s="22"/>
      <c r="G1905" s="22"/>
    </row>
    <row r="1906" spans="1:7" ht="40.5" x14ac:dyDescent="0.15">
      <c r="A1906" s="19" t="s">
        <v>6767</v>
      </c>
      <c r="B1906" s="25" t="s">
        <v>7800</v>
      </c>
      <c r="C1906" s="22"/>
      <c r="D1906" s="26" t="str">
        <f t="shared" si="141"/>
        <v>https://kokusho.nijl.ac.jp/biblio/100232367/237</v>
      </c>
      <c r="E1906" s="22"/>
      <c r="F1906" s="22"/>
      <c r="G1906" s="22"/>
    </row>
    <row r="1907" spans="1:7" x14ac:dyDescent="0.15">
      <c r="A1907" s="19" t="s">
        <v>6767</v>
      </c>
      <c r="B1907" s="25" t="s">
        <v>7801</v>
      </c>
      <c r="C1907" s="22"/>
      <c r="D1907" s="26" t="str">
        <f>HYPERLINK("https://kokusho.nijl.ac.jp/biblio/100232367/238")</f>
        <v>https://kokusho.nijl.ac.jp/biblio/100232367/238</v>
      </c>
      <c r="E1907" s="22"/>
      <c r="F1907" s="22"/>
      <c r="G1907" s="22"/>
    </row>
    <row r="1908" spans="1:7" x14ac:dyDescent="0.15">
      <c r="A1908" s="19" t="s">
        <v>6767</v>
      </c>
      <c r="B1908" s="25" t="s">
        <v>7802</v>
      </c>
      <c r="C1908" s="22"/>
      <c r="D1908" s="26" t="str">
        <f>HYPERLINK("https://kokusho.nijl.ac.jp/biblio/100232367/238")</f>
        <v>https://kokusho.nijl.ac.jp/biblio/100232367/238</v>
      </c>
      <c r="E1908" s="22"/>
      <c r="F1908" s="22"/>
      <c r="G1908" s="22"/>
    </row>
    <row r="1909" spans="1:7" x14ac:dyDescent="0.15">
      <c r="A1909" s="19" t="s">
        <v>6767</v>
      </c>
      <c r="B1909" s="25" t="s">
        <v>7803</v>
      </c>
      <c r="C1909" s="22"/>
      <c r="D1909" s="26" t="str">
        <f>HYPERLINK("https://kokusho.nijl.ac.jp/biblio/100232367/238")</f>
        <v>https://kokusho.nijl.ac.jp/biblio/100232367/238</v>
      </c>
      <c r="E1909" s="22"/>
      <c r="F1909" s="22"/>
      <c r="G1909" s="22"/>
    </row>
    <row r="1910" spans="1:7" x14ac:dyDescent="0.15">
      <c r="A1910" s="19" t="s">
        <v>6767</v>
      </c>
      <c r="B1910" s="25" t="s">
        <v>7804</v>
      </c>
      <c r="C1910" s="22"/>
      <c r="D1910" s="26" t="str">
        <f>HYPERLINK("https://kokusho.nijl.ac.jp/biblio/100232367/239")</f>
        <v>https://kokusho.nijl.ac.jp/biblio/100232367/239</v>
      </c>
      <c r="E1910" s="22"/>
      <c r="F1910" s="22"/>
      <c r="G1910" s="22"/>
    </row>
    <row r="1911" spans="1:7" x14ac:dyDescent="0.15">
      <c r="A1911" s="19" t="s">
        <v>6767</v>
      </c>
      <c r="B1911" s="25" t="s">
        <v>7805</v>
      </c>
      <c r="C1911" s="22"/>
      <c r="D1911" s="26" t="str">
        <f>HYPERLINK("https://kokusho.nijl.ac.jp/biblio/100232367/239")</f>
        <v>https://kokusho.nijl.ac.jp/biblio/100232367/239</v>
      </c>
      <c r="E1911" s="22"/>
      <c r="F1911" s="22"/>
      <c r="G1911" s="22"/>
    </row>
    <row r="1912" spans="1:7" x14ac:dyDescent="0.15">
      <c r="A1912" s="19" t="s">
        <v>6767</v>
      </c>
      <c r="B1912" s="25" t="s">
        <v>7806</v>
      </c>
      <c r="C1912" s="22"/>
      <c r="D1912" s="26" t="str">
        <f>HYPERLINK("https://kokusho.nijl.ac.jp/biblio/100232367/239")</f>
        <v>https://kokusho.nijl.ac.jp/biblio/100232367/239</v>
      </c>
      <c r="E1912" s="22"/>
      <c r="F1912" s="22"/>
      <c r="G1912" s="22"/>
    </row>
    <row r="1913" spans="1:7" x14ac:dyDescent="0.15">
      <c r="A1913" s="19" t="s">
        <v>6767</v>
      </c>
      <c r="B1913" s="25" t="s">
        <v>7807</v>
      </c>
      <c r="C1913" s="22"/>
      <c r="D1913" s="26" t="str">
        <f>HYPERLINK("https://kokusho.nijl.ac.jp/biblio/100232367/239")</f>
        <v>https://kokusho.nijl.ac.jp/biblio/100232367/239</v>
      </c>
      <c r="E1913" s="22"/>
      <c r="F1913" s="22"/>
      <c r="G1913" s="22"/>
    </row>
    <row r="1914" spans="1:7" x14ac:dyDescent="0.15">
      <c r="A1914" s="19" t="s">
        <v>6767</v>
      </c>
      <c r="B1914" s="25" t="s">
        <v>5925</v>
      </c>
      <c r="C1914" s="22"/>
      <c r="D1914" s="26" t="str">
        <f>HYPERLINK("https://kokusho.nijl.ac.jp/biblio/100232367/239")</f>
        <v>https://kokusho.nijl.ac.jp/biblio/100232367/239</v>
      </c>
      <c r="E1914" s="22"/>
      <c r="F1914" s="22"/>
      <c r="G1914" s="22"/>
    </row>
    <row r="1915" spans="1:7" x14ac:dyDescent="0.15">
      <c r="A1915" s="19" t="s">
        <v>6767</v>
      </c>
      <c r="B1915" s="25" t="s">
        <v>7808</v>
      </c>
      <c r="C1915" s="22"/>
      <c r="D1915" s="26" t="str">
        <f t="shared" ref="D1915:D1922" si="142">HYPERLINK("https://kokusho.nijl.ac.jp/biblio/100232367/240")</f>
        <v>https://kokusho.nijl.ac.jp/biblio/100232367/240</v>
      </c>
      <c r="E1915" s="22"/>
      <c r="F1915" s="22"/>
      <c r="G1915" s="22"/>
    </row>
    <row r="1916" spans="1:7" x14ac:dyDescent="0.15">
      <c r="A1916" s="19" t="s">
        <v>6767</v>
      </c>
      <c r="B1916" s="25" t="s">
        <v>7809</v>
      </c>
      <c r="C1916" s="22"/>
      <c r="D1916" s="26" t="str">
        <f t="shared" si="142"/>
        <v>https://kokusho.nijl.ac.jp/biblio/100232367/240</v>
      </c>
      <c r="E1916" s="22"/>
      <c r="F1916" s="22"/>
      <c r="G1916" s="22"/>
    </row>
    <row r="1917" spans="1:7" x14ac:dyDescent="0.15">
      <c r="A1917" s="19" t="s">
        <v>6767</v>
      </c>
      <c r="B1917" s="25" t="s">
        <v>7810</v>
      </c>
      <c r="C1917" s="22"/>
      <c r="D1917" s="26" t="str">
        <f t="shared" si="142"/>
        <v>https://kokusho.nijl.ac.jp/biblio/100232367/240</v>
      </c>
      <c r="E1917" s="22"/>
      <c r="F1917" s="22"/>
      <c r="G1917" s="22"/>
    </row>
    <row r="1918" spans="1:7" x14ac:dyDescent="0.15">
      <c r="A1918" s="19" t="s">
        <v>6767</v>
      </c>
      <c r="B1918" s="25" t="s">
        <v>7811</v>
      </c>
      <c r="C1918" s="22"/>
      <c r="D1918" s="26" t="str">
        <f t="shared" si="142"/>
        <v>https://kokusho.nijl.ac.jp/biblio/100232367/240</v>
      </c>
      <c r="E1918" s="22"/>
      <c r="F1918" s="22"/>
      <c r="G1918" s="22"/>
    </row>
    <row r="1919" spans="1:7" x14ac:dyDescent="0.15">
      <c r="A1919" s="19" t="s">
        <v>6767</v>
      </c>
      <c r="B1919" s="25" t="s">
        <v>7812</v>
      </c>
      <c r="C1919" s="22"/>
      <c r="D1919" s="26" t="str">
        <f t="shared" si="142"/>
        <v>https://kokusho.nijl.ac.jp/biblio/100232367/240</v>
      </c>
      <c r="E1919" s="22"/>
      <c r="F1919" s="22"/>
      <c r="G1919" s="22"/>
    </row>
    <row r="1920" spans="1:7" x14ac:dyDescent="0.15">
      <c r="A1920" s="19" t="s">
        <v>6767</v>
      </c>
      <c r="B1920" s="25" t="s">
        <v>7813</v>
      </c>
      <c r="C1920" s="22"/>
      <c r="D1920" s="26" t="str">
        <f t="shared" si="142"/>
        <v>https://kokusho.nijl.ac.jp/biblio/100232367/240</v>
      </c>
      <c r="E1920" s="22"/>
      <c r="F1920" s="22"/>
      <c r="G1920" s="22"/>
    </row>
    <row r="1921" spans="1:7" x14ac:dyDescent="0.15">
      <c r="A1921" s="19" t="s">
        <v>6767</v>
      </c>
      <c r="B1921" s="25" t="s">
        <v>7814</v>
      </c>
      <c r="C1921" s="22"/>
      <c r="D1921" s="26" t="str">
        <f t="shared" si="142"/>
        <v>https://kokusho.nijl.ac.jp/biblio/100232367/240</v>
      </c>
      <c r="E1921" s="22"/>
      <c r="F1921" s="22"/>
      <c r="G1921" s="22"/>
    </row>
    <row r="1922" spans="1:7" x14ac:dyDescent="0.15">
      <c r="A1922" s="19" t="s">
        <v>6767</v>
      </c>
      <c r="B1922" s="25" t="s">
        <v>7815</v>
      </c>
      <c r="C1922" s="22"/>
      <c r="D1922" s="26" t="str">
        <f t="shared" si="142"/>
        <v>https://kokusho.nijl.ac.jp/biblio/100232367/240</v>
      </c>
      <c r="E1922" s="22"/>
      <c r="F1922" s="22"/>
      <c r="G1922" s="22"/>
    </row>
    <row r="1923" spans="1:7" x14ac:dyDescent="0.15">
      <c r="A1923" s="19" t="s">
        <v>6767</v>
      </c>
      <c r="B1923" s="25" t="s">
        <v>5936</v>
      </c>
      <c r="C1923" s="22"/>
      <c r="D1923" s="26" t="str">
        <f>HYPERLINK("https://kokusho.nijl.ac.jp/biblio/100232367/241")</f>
        <v>https://kokusho.nijl.ac.jp/biblio/100232367/241</v>
      </c>
      <c r="E1923" s="22"/>
      <c r="F1923" s="22"/>
      <c r="G1923" s="22"/>
    </row>
    <row r="1924" spans="1:7" x14ac:dyDescent="0.15">
      <c r="A1924" s="19" t="s">
        <v>6767</v>
      </c>
      <c r="B1924" s="25" t="s">
        <v>7816</v>
      </c>
      <c r="C1924" s="22"/>
      <c r="D1924" s="26" t="str">
        <f>HYPERLINK("https://kokusho.nijl.ac.jp/biblio/100232367/241")</f>
        <v>https://kokusho.nijl.ac.jp/biblio/100232367/241</v>
      </c>
      <c r="E1924" s="22"/>
      <c r="F1924" s="22"/>
      <c r="G1924" s="22"/>
    </row>
    <row r="1925" spans="1:7" x14ac:dyDescent="0.15">
      <c r="A1925" s="19" t="s">
        <v>6767</v>
      </c>
      <c r="B1925" s="25" t="s">
        <v>7817</v>
      </c>
      <c r="C1925" s="22"/>
      <c r="D1925" s="26" t="str">
        <f>HYPERLINK("https://kokusho.nijl.ac.jp/biblio/100232367/241")</f>
        <v>https://kokusho.nijl.ac.jp/biblio/100232367/241</v>
      </c>
      <c r="E1925" s="22"/>
      <c r="F1925" s="22"/>
      <c r="G1925" s="22"/>
    </row>
    <row r="1926" spans="1:7" x14ac:dyDescent="0.15">
      <c r="A1926" s="19" t="s">
        <v>6767</v>
      </c>
      <c r="B1926" s="25" t="s">
        <v>7818</v>
      </c>
      <c r="C1926" s="22"/>
      <c r="D1926" s="26" t="str">
        <f>HYPERLINK("https://kokusho.nijl.ac.jp/biblio/100232367/242")</f>
        <v>https://kokusho.nijl.ac.jp/biblio/100232367/242</v>
      </c>
      <c r="E1926" s="22"/>
      <c r="F1926" s="22"/>
      <c r="G1926" s="22"/>
    </row>
    <row r="1927" spans="1:7" x14ac:dyDescent="0.15">
      <c r="A1927" s="19" t="s">
        <v>6767</v>
      </c>
      <c r="B1927" s="25" t="s">
        <v>7819</v>
      </c>
      <c r="C1927" s="22"/>
      <c r="D1927" s="26" t="str">
        <f>HYPERLINK("https://kokusho.nijl.ac.jp/biblio/100232367/242")</f>
        <v>https://kokusho.nijl.ac.jp/biblio/100232367/242</v>
      </c>
      <c r="E1927" s="22"/>
      <c r="F1927" s="22"/>
      <c r="G1927" s="22"/>
    </row>
    <row r="1928" spans="1:7" x14ac:dyDescent="0.15">
      <c r="A1928" s="19" t="s">
        <v>6767</v>
      </c>
      <c r="B1928" s="25" t="s">
        <v>7820</v>
      </c>
      <c r="C1928" s="22"/>
      <c r="D1928" s="26" t="str">
        <f>HYPERLINK("https://kokusho.nijl.ac.jp/biblio/100232367/242")</f>
        <v>https://kokusho.nijl.ac.jp/biblio/100232367/242</v>
      </c>
      <c r="E1928" s="22"/>
      <c r="F1928" s="22"/>
      <c r="G1928" s="22"/>
    </row>
    <row r="1929" spans="1:7" ht="18.75" x14ac:dyDescent="0.15">
      <c r="A1929" s="19" t="s">
        <v>6767</v>
      </c>
      <c r="B1929" s="25" t="s">
        <v>8965</v>
      </c>
      <c r="C1929" s="22"/>
      <c r="D1929" s="26" t="str">
        <f>HYPERLINK("https://kokusho.nijl.ac.jp/biblio/100232367/242")</f>
        <v>https://kokusho.nijl.ac.jp/biblio/100232367/242</v>
      </c>
      <c r="E1929" s="22"/>
      <c r="F1929" s="22"/>
      <c r="G1929" s="22"/>
    </row>
    <row r="1930" spans="1:7" x14ac:dyDescent="0.15">
      <c r="A1930" s="19" t="s">
        <v>6767</v>
      </c>
      <c r="B1930" s="25" t="s">
        <v>7821</v>
      </c>
      <c r="C1930" s="22"/>
      <c r="D1930" s="26" t="str">
        <f>HYPERLINK("https://kokusho.nijl.ac.jp/biblio/100232367/242")</f>
        <v>https://kokusho.nijl.ac.jp/biblio/100232367/242</v>
      </c>
      <c r="E1930" s="22"/>
      <c r="F1930" s="22"/>
      <c r="G1930" s="22"/>
    </row>
    <row r="1931" spans="1:7" x14ac:dyDescent="0.15">
      <c r="A1931" s="19" t="s">
        <v>6767</v>
      </c>
      <c r="B1931" s="25" t="s">
        <v>7822</v>
      </c>
      <c r="C1931" s="22"/>
      <c r="D1931" s="26" t="str">
        <f>HYPERLINK("https://kokusho.nijl.ac.jp/biblio/100232367/243")</f>
        <v>https://kokusho.nijl.ac.jp/biblio/100232367/243</v>
      </c>
      <c r="E1931" s="22"/>
      <c r="F1931" s="22"/>
      <c r="G1931" s="22"/>
    </row>
    <row r="1932" spans="1:7" x14ac:dyDescent="0.15">
      <c r="A1932" s="19" t="s">
        <v>6767</v>
      </c>
      <c r="B1932" s="25" t="s">
        <v>7823</v>
      </c>
      <c r="C1932" s="22"/>
      <c r="D1932" s="26" t="str">
        <f>HYPERLINK("https://kokusho.nijl.ac.jp/biblio/100232367/243")</f>
        <v>https://kokusho.nijl.ac.jp/biblio/100232367/243</v>
      </c>
      <c r="E1932" s="22"/>
      <c r="F1932" s="22"/>
      <c r="G1932" s="22"/>
    </row>
    <row r="1933" spans="1:7" x14ac:dyDescent="0.15">
      <c r="A1933" s="19" t="s">
        <v>6767</v>
      </c>
      <c r="B1933" s="25" t="s">
        <v>5933</v>
      </c>
      <c r="C1933" s="22"/>
      <c r="D1933" s="26" t="str">
        <f>HYPERLINK("https://kokusho.nijl.ac.jp/biblio/100232367/243")</f>
        <v>https://kokusho.nijl.ac.jp/biblio/100232367/243</v>
      </c>
      <c r="E1933" s="22"/>
      <c r="F1933" s="22"/>
      <c r="G1933" s="22"/>
    </row>
    <row r="1934" spans="1:7" x14ac:dyDescent="0.15">
      <c r="A1934" s="19" t="s">
        <v>6767</v>
      </c>
      <c r="B1934" s="25" t="s">
        <v>7824</v>
      </c>
      <c r="C1934" s="22"/>
      <c r="D1934" s="26" t="str">
        <f t="shared" ref="D1934:D1941" si="143">HYPERLINK("https://kokusho.nijl.ac.jp/biblio/100232367/244")</f>
        <v>https://kokusho.nijl.ac.jp/biblio/100232367/244</v>
      </c>
      <c r="E1934" s="22"/>
      <c r="F1934" s="22"/>
      <c r="G1934" s="22"/>
    </row>
    <row r="1935" spans="1:7" x14ac:dyDescent="0.15">
      <c r="A1935" s="19" t="s">
        <v>6767</v>
      </c>
      <c r="B1935" s="25" t="s">
        <v>7825</v>
      </c>
      <c r="C1935" s="22"/>
      <c r="D1935" s="26" t="str">
        <f t="shared" si="143"/>
        <v>https://kokusho.nijl.ac.jp/biblio/100232367/244</v>
      </c>
      <c r="E1935" s="22"/>
      <c r="F1935" s="22"/>
      <c r="G1935" s="22"/>
    </row>
    <row r="1936" spans="1:7" x14ac:dyDescent="0.15">
      <c r="A1936" s="19" t="s">
        <v>6767</v>
      </c>
      <c r="B1936" s="25" t="s">
        <v>5897</v>
      </c>
      <c r="C1936" s="22"/>
      <c r="D1936" s="26" t="str">
        <f t="shared" si="143"/>
        <v>https://kokusho.nijl.ac.jp/biblio/100232367/244</v>
      </c>
      <c r="E1936" s="22"/>
      <c r="F1936" s="22"/>
      <c r="G1936" s="22"/>
    </row>
    <row r="1937" spans="1:7" x14ac:dyDescent="0.15">
      <c r="A1937" s="19" t="s">
        <v>6767</v>
      </c>
      <c r="B1937" s="25" t="s">
        <v>7826</v>
      </c>
      <c r="C1937" s="22"/>
      <c r="D1937" s="26" t="str">
        <f t="shared" si="143"/>
        <v>https://kokusho.nijl.ac.jp/biblio/100232367/244</v>
      </c>
      <c r="E1937" s="22"/>
      <c r="F1937" s="22"/>
      <c r="G1937" s="22"/>
    </row>
    <row r="1938" spans="1:7" x14ac:dyDescent="0.15">
      <c r="A1938" s="19" t="s">
        <v>6767</v>
      </c>
      <c r="B1938" s="25" t="s">
        <v>7827</v>
      </c>
      <c r="C1938" s="22"/>
      <c r="D1938" s="26" t="str">
        <f t="shared" si="143"/>
        <v>https://kokusho.nijl.ac.jp/biblio/100232367/244</v>
      </c>
      <c r="E1938" s="22"/>
      <c r="F1938" s="22"/>
      <c r="G1938" s="22"/>
    </row>
    <row r="1939" spans="1:7" x14ac:dyDescent="0.15">
      <c r="A1939" s="19" t="s">
        <v>6767</v>
      </c>
      <c r="B1939" s="25" t="s">
        <v>7828</v>
      </c>
      <c r="C1939" s="22"/>
      <c r="D1939" s="26" t="str">
        <f t="shared" si="143"/>
        <v>https://kokusho.nijl.ac.jp/biblio/100232367/244</v>
      </c>
      <c r="E1939" s="22"/>
      <c r="F1939" s="22"/>
      <c r="G1939" s="22"/>
    </row>
    <row r="1940" spans="1:7" x14ac:dyDescent="0.15">
      <c r="A1940" s="19" t="s">
        <v>6767</v>
      </c>
      <c r="B1940" s="25" t="s">
        <v>7829</v>
      </c>
      <c r="C1940" s="22"/>
      <c r="D1940" s="26" t="str">
        <f t="shared" si="143"/>
        <v>https://kokusho.nijl.ac.jp/biblio/100232367/244</v>
      </c>
      <c r="E1940" s="22"/>
      <c r="F1940" s="22"/>
      <c r="G1940" s="22"/>
    </row>
    <row r="1941" spans="1:7" x14ac:dyDescent="0.15">
      <c r="A1941" s="19" t="s">
        <v>6767</v>
      </c>
      <c r="B1941" s="25" t="s">
        <v>7830</v>
      </c>
      <c r="C1941" s="22"/>
      <c r="D1941" s="26" t="str">
        <f t="shared" si="143"/>
        <v>https://kokusho.nijl.ac.jp/biblio/100232367/244</v>
      </c>
      <c r="E1941" s="22"/>
      <c r="F1941" s="22"/>
      <c r="G1941" s="22"/>
    </row>
    <row r="1942" spans="1:7" x14ac:dyDescent="0.15">
      <c r="A1942" s="19" t="s">
        <v>6767</v>
      </c>
      <c r="B1942" s="25" t="s">
        <v>7831</v>
      </c>
      <c r="C1942" s="22"/>
      <c r="D1942" s="26" t="str">
        <f>HYPERLINK("https://kokusho.nijl.ac.jp/biblio/100232367/245")</f>
        <v>https://kokusho.nijl.ac.jp/biblio/100232367/245</v>
      </c>
      <c r="E1942" s="22"/>
      <c r="F1942" s="22"/>
      <c r="G1942" s="22"/>
    </row>
    <row r="1943" spans="1:7" x14ac:dyDescent="0.15">
      <c r="A1943" s="19" t="s">
        <v>6767</v>
      </c>
      <c r="B1943" s="25" t="s">
        <v>7832</v>
      </c>
      <c r="C1943" s="22"/>
      <c r="D1943" s="26" t="str">
        <f>HYPERLINK("https://kokusho.nijl.ac.jp/biblio/100232367/245")</f>
        <v>https://kokusho.nijl.ac.jp/biblio/100232367/245</v>
      </c>
      <c r="E1943" s="22"/>
      <c r="F1943" s="22"/>
      <c r="G1943" s="22"/>
    </row>
    <row r="1944" spans="1:7" x14ac:dyDescent="0.15">
      <c r="A1944" s="19" t="s">
        <v>6767</v>
      </c>
      <c r="B1944" s="25" t="s">
        <v>7833</v>
      </c>
      <c r="C1944" s="22"/>
      <c r="D1944" s="26" t="str">
        <f t="shared" ref="D1944:D1952" si="144">HYPERLINK("https://kokusho.nijl.ac.jp/biblio/100232367/246")</f>
        <v>https://kokusho.nijl.ac.jp/biblio/100232367/246</v>
      </c>
      <c r="E1944" s="22"/>
      <c r="F1944" s="22"/>
      <c r="G1944" s="22"/>
    </row>
    <row r="1945" spans="1:7" x14ac:dyDescent="0.15">
      <c r="A1945" s="19" t="s">
        <v>6767</v>
      </c>
      <c r="B1945" s="25" t="s">
        <v>7834</v>
      </c>
      <c r="C1945" s="22"/>
      <c r="D1945" s="26" t="str">
        <f t="shared" si="144"/>
        <v>https://kokusho.nijl.ac.jp/biblio/100232367/246</v>
      </c>
      <c r="E1945" s="22"/>
      <c r="F1945" s="22"/>
      <c r="G1945" s="22"/>
    </row>
    <row r="1946" spans="1:7" x14ac:dyDescent="0.15">
      <c r="A1946" s="19" t="s">
        <v>6767</v>
      </c>
      <c r="B1946" s="25" t="s">
        <v>7835</v>
      </c>
      <c r="C1946" s="22"/>
      <c r="D1946" s="26" t="str">
        <f t="shared" si="144"/>
        <v>https://kokusho.nijl.ac.jp/biblio/100232367/246</v>
      </c>
      <c r="E1946" s="22"/>
      <c r="F1946" s="22"/>
      <c r="G1946" s="22"/>
    </row>
    <row r="1947" spans="1:7" x14ac:dyDescent="0.15">
      <c r="A1947" s="19" t="s">
        <v>6767</v>
      </c>
      <c r="B1947" s="25" t="s">
        <v>7836</v>
      </c>
      <c r="C1947" s="22"/>
      <c r="D1947" s="26" t="str">
        <f t="shared" si="144"/>
        <v>https://kokusho.nijl.ac.jp/biblio/100232367/246</v>
      </c>
      <c r="E1947" s="22"/>
      <c r="F1947" s="22"/>
      <c r="G1947" s="22"/>
    </row>
    <row r="1948" spans="1:7" x14ac:dyDescent="0.15">
      <c r="A1948" s="19" t="s">
        <v>6767</v>
      </c>
      <c r="B1948" s="25" t="s">
        <v>7837</v>
      </c>
      <c r="C1948" s="22"/>
      <c r="D1948" s="26" t="str">
        <f t="shared" si="144"/>
        <v>https://kokusho.nijl.ac.jp/biblio/100232367/246</v>
      </c>
      <c r="E1948" s="22"/>
      <c r="F1948" s="22"/>
      <c r="G1948" s="22"/>
    </row>
    <row r="1949" spans="1:7" x14ac:dyDescent="0.15">
      <c r="A1949" s="19" t="s">
        <v>6767</v>
      </c>
      <c r="B1949" s="25" t="s">
        <v>7838</v>
      </c>
      <c r="C1949" s="22"/>
      <c r="D1949" s="26" t="str">
        <f t="shared" si="144"/>
        <v>https://kokusho.nijl.ac.jp/biblio/100232367/246</v>
      </c>
      <c r="E1949" s="22"/>
      <c r="F1949" s="22"/>
      <c r="G1949" s="22"/>
    </row>
    <row r="1950" spans="1:7" x14ac:dyDescent="0.15">
      <c r="A1950" s="19" t="s">
        <v>6767</v>
      </c>
      <c r="B1950" s="25" t="s">
        <v>7839</v>
      </c>
      <c r="C1950" s="22"/>
      <c r="D1950" s="26" t="str">
        <f t="shared" si="144"/>
        <v>https://kokusho.nijl.ac.jp/biblio/100232367/246</v>
      </c>
      <c r="E1950" s="22"/>
      <c r="F1950" s="22"/>
      <c r="G1950" s="22"/>
    </row>
    <row r="1951" spans="1:7" x14ac:dyDescent="0.15">
      <c r="A1951" s="19" t="s">
        <v>6767</v>
      </c>
      <c r="B1951" s="25" t="s">
        <v>7840</v>
      </c>
      <c r="C1951" s="22"/>
      <c r="D1951" s="26" t="str">
        <f t="shared" si="144"/>
        <v>https://kokusho.nijl.ac.jp/biblio/100232367/246</v>
      </c>
      <c r="E1951" s="22"/>
      <c r="F1951" s="22"/>
      <c r="G1951" s="22"/>
    </row>
    <row r="1952" spans="1:7" x14ac:dyDescent="0.15">
      <c r="A1952" s="19" t="s">
        <v>6767</v>
      </c>
      <c r="B1952" s="25" t="s">
        <v>7841</v>
      </c>
      <c r="C1952" s="22"/>
      <c r="D1952" s="26" t="str">
        <f t="shared" si="144"/>
        <v>https://kokusho.nijl.ac.jp/biblio/100232367/246</v>
      </c>
      <c r="E1952" s="22"/>
      <c r="F1952" s="22"/>
      <c r="G1952" s="22"/>
    </row>
    <row r="1953" spans="1:7" x14ac:dyDescent="0.15">
      <c r="A1953" s="19" t="s">
        <v>6767</v>
      </c>
      <c r="B1953" s="25" t="s">
        <v>7842</v>
      </c>
      <c r="C1953" s="22"/>
      <c r="D1953" s="26" t="str">
        <f t="shared" ref="D1953:D1959" si="145">HYPERLINK("https://kokusho.nijl.ac.jp/biblio/100232367/247")</f>
        <v>https://kokusho.nijl.ac.jp/biblio/100232367/247</v>
      </c>
      <c r="E1953" s="22"/>
      <c r="F1953" s="22"/>
      <c r="G1953" s="22"/>
    </row>
    <row r="1954" spans="1:7" x14ac:dyDescent="0.15">
      <c r="A1954" s="19" t="s">
        <v>6767</v>
      </c>
      <c r="B1954" s="25" t="s">
        <v>7843</v>
      </c>
      <c r="C1954" s="22"/>
      <c r="D1954" s="26" t="str">
        <f t="shared" si="145"/>
        <v>https://kokusho.nijl.ac.jp/biblio/100232367/247</v>
      </c>
      <c r="E1954" s="22"/>
      <c r="F1954" s="22"/>
      <c r="G1954" s="22"/>
    </row>
    <row r="1955" spans="1:7" x14ac:dyDescent="0.15">
      <c r="A1955" s="19" t="s">
        <v>6767</v>
      </c>
      <c r="B1955" s="25" t="s">
        <v>7844</v>
      </c>
      <c r="C1955" s="22"/>
      <c r="D1955" s="26" t="str">
        <f t="shared" si="145"/>
        <v>https://kokusho.nijl.ac.jp/biblio/100232367/247</v>
      </c>
      <c r="E1955" s="22"/>
      <c r="F1955" s="22"/>
      <c r="G1955" s="22"/>
    </row>
    <row r="1956" spans="1:7" ht="27" x14ac:dyDescent="0.15">
      <c r="A1956" s="19" t="s">
        <v>6767</v>
      </c>
      <c r="B1956" s="25" t="s">
        <v>7845</v>
      </c>
      <c r="C1956" s="22"/>
      <c r="D1956" s="26" t="str">
        <f t="shared" si="145"/>
        <v>https://kokusho.nijl.ac.jp/biblio/100232367/247</v>
      </c>
      <c r="E1956" s="22"/>
      <c r="F1956" s="22"/>
      <c r="G1956" s="22"/>
    </row>
    <row r="1957" spans="1:7" x14ac:dyDescent="0.15">
      <c r="A1957" s="19" t="s">
        <v>6767</v>
      </c>
      <c r="B1957" s="25" t="s">
        <v>7846</v>
      </c>
      <c r="C1957" s="22"/>
      <c r="D1957" s="26" t="str">
        <f t="shared" si="145"/>
        <v>https://kokusho.nijl.ac.jp/biblio/100232367/247</v>
      </c>
      <c r="E1957" s="22"/>
      <c r="F1957" s="22"/>
      <c r="G1957" s="22"/>
    </row>
    <row r="1958" spans="1:7" x14ac:dyDescent="0.15">
      <c r="A1958" s="19" t="s">
        <v>6767</v>
      </c>
      <c r="B1958" s="25" t="s">
        <v>7847</v>
      </c>
      <c r="C1958" s="22"/>
      <c r="D1958" s="26" t="str">
        <f t="shared" si="145"/>
        <v>https://kokusho.nijl.ac.jp/biblio/100232367/247</v>
      </c>
      <c r="E1958" s="22"/>
      <c r="F1958" s="22"/>
      <c r="G1958" s="22"/>
    </row>
    <row r="1959" spans="1:7" x14ac:dyDescent="0.15">
      <c r="A1959" s="19" t="s">
        <v>6767</v>
      </c>
      <c r="B1959" s="25" t="s">
        <v>7848</v>
      </c>
      <c r="C1959" s="22"/>
      <c r="D1959" s="26" t="str">
        <f t="shared" si="145"/>
        <v>https://kokusho.nijl.ac.jp/biblio/100232367/247</v>
      </c>
      <c r="E1959" s="22"/>
      <c r="F1959" s="22"/>
      <c r="G1959" s="22"/>
    </row>
    <row r="1960" spans="1:7" x14ac:dyDescent="0.15">
      <c r="A1960" s="19" t="s">
        <v>6767</v>
      </c>
      <c r="B1960" s="25" t="s">
        <v>5943</v>
      </c>
      <c r="C1960" s="22"/>
      <c r="D1960" s="26" t="str">
        <f>HYPERLINK("https://kokusho.nijl.ac.jp/biblio/100232367/248")</f>
        <v>https://kokusho.nijl.ac.jp/biblio/100232367/248</v>
      </c>
      <c r="E1960" s="22"/>
      <c r="F1960" s="22"/>
      <c r="G1960" s="22"/>
    </row>
    <row r="1961" spans="1:7" x14ac:dyDescent="0.15">
      <c r="A1961" s="19" t="s">
        <v>6767</v>
      </c>
      <c r="B1961" s="25" t="s">
        <v>7849</v>
      </c>
      <c r="C1961" s="22"/>
      <c r="D1961" s="26" t="str">
        <f>HYPERLINK("https://kokusho.nijl.ac.jp/biblio/100232367/248")</f>
        <v>https://kokusho.nijl.ac.jp/biblio/100232367/248</v>
      </c>
      <c r="E1961" s="22"/>
      <c r="F1961" s="22"/>
      <c r="G1961" s="22"/>
    </row>
    <row r="1962" spans="1:7" x14ac:dyDescent="0.15">
      <c r="A1962" s="19" t="s">
        <v>6767</v>
      </c>
      <c r="B1962" s="25" t="s">
        <v>7850</v>
      </c>
      <c r="C1962" s="22"/>
      <c r="D1962" s="26" t="str">
        <f>HYPERLINK("https://kokusho.nijl.ac.jp/biblio/100232367/248")</f>
        <v>https://kokusho.nijl.ac.jp/biblio/100232367/248</v>
      </c>
      <c r="E1962" s="22"/>
      <c r="F1962" s="22"/>
      <c r="G1962" s="22"/>
    </row>
    <row r="1963" spans="1:7" x14ac:dyDescent="0.15">
      <c r="A1963" s="19" t="s">
        <v>6767</v>
      </c>
      <c r="B1963" s="25" t="s">
        <v>7851</v>
      </c>
      <c r="C1963" s="22"/>
      <c r="D1963" s="26" t="str">
        <f>HYPERLINK("https://kokusho.nijl.ac.jp/biblio/100232367/248")</f>
        <v>https://kokusho.nijl.ac.jp/biblio/100232367/248</v>
      </c>
      <c r="E1963" s="22"/>
      <c r="F1963" s="22"/>
      <c r="G1963" s="22"/>
    </row>
    <row r="1964" spans="1:7" x14ac:dyDescent="0.15">
      <c r="A1964" s="19" t="s">
        <v>6767</v>
      </c>
      <c r="B1964" s="25" t="s">
        <v>7852</v>
      </c>
      <c r="C1964" s="22"/>
      <c r="D1964" s="26" t="str">
        <f t="shared" ref="D1964:D1969" si="146">HYPERLINK("https://kokusho.nijl.ac.jp/biblio/100232367/249")</f>
        <v>https://kokusho.nijl.ac.jp/biblio/100232367/249</v>
      </c>
      <c r="E1964" s="22"/>
      <c r="F1964" s="22"/>
      <c r="G1964" s="22"/>
    </row>
    <row r="1965" spans="1:7" x14ac:dyDescent="0.15">
      <c r="A1965" s="19" t="s">
        <v>6767</v>
      </c>
      <c r="B1965" s="25" t="s">
        <v>7853</v>
      </c>
      <c r="C1965" s="22"/>
      <c r="D1965" s="26" t="str">
        <f t="shared" si="146"/>
        <v>https://kokusho.nijl.ac.jp/biblio/100232367/249</v>
      </c>
      <c r="E1965" s="22"/>
      <c r="F1965" s="22"/>
      <c r="G1965" s="22"/>
    </row>
    <row r="1966" spans="1:7" x14ac:dyDescent="0.15">
      <c r="A1966" s="19" t="s">
        <v>6767</v>
      </c>
      <c r="B1966" s="25" t="s">
        <v>7854</v>
      </c>
      <c r="C1966" s="22"/>
      <c r="D1966" s="26" t="str">
        <f t="shared" si="146"/>
        <v>https://kokusho.nijl.ac.jp/biblio/100232367/249</v>
      </c>
      <c r="E1966" s="22"/>
      <c r="F1966" s="22"/>
      <c r="G1966" s="22"/>
    </row>
    <row r="1967" spans="1:7" x14ac:dyDescent="0.15">
      <c r="A1967" s="19" t="s">
        <v>6767</v>
      </c>
      <c r="B1967" s="25" t="s">
        <v>7855</v>
      </c>
      <c r="C1967" s="22"/>
      <c r="D1967" s="26" t="str">
        <f t="shared" si="146"/>
        <v>https://kokusho.nijl.ac.jp/biblio/100232367/249</v>
      </c>
      <c r="E1967" s="22"/>
      <c r="F1967" s="22"/>
      <c r="G1967" s="22"/>
    </row>
    <row r="1968" spans="1:7" x14ac:dyDescent="0.15">
      <c r="A1968" s="19" t="s">
        <v>6767</v>
      </c>
      <c r="B1968" s="25" t="s">
        <v>7856</v>
      </c>
      <c r="C1968" s="22"/>
      <c r="D1968" s="26" t="str">
        <f t="shared" si="146"/>
        <v>https://kokusho.nijl.ac.jp/biblio/100232367/249</v>
      </c>
      <c r="E1968" s="22"/>
      <c r="F1968" s="22"/>
      <c r="G1968" s="22"/>
    </row>
    <row r="1969" spans="1:7" x14ac:dyDescent="0.15">
      <c r="A1969" s="19" t="s">
        <v>6767</v>
      </c>
      <c r="B1969" s="25" t="s">
        <v>7857</v>
      </c>
      <c r="C1969" s="22"/>
      <c r="D1969" s="26" t="str">
        <f t="shared" si="146"/>
        <v>https://kokusho.nijl.ac.jp/biblio/100232367/249</v>
      </c>
      <c r="E1969" s="22"/>
      <c r="F1969" s="22"/>
      <c r="G1969" s="22"/>
    </row>
    <row r="1970" spans="1:7" x14ac:dyDescent="0.15">
      <c r="A1970" s="19" t="s">
        <v>6767</v>
      </c>
      <c r="B1970" s="25" t="s">
        <v>7858</v>
      </c>
      <c r="C1970" s="22"/>
      <c r="D1970" s="26" t="str">
        <f t="shared" ref="D1970:D1977" si="147">HYPERLINK("https://kokusho.nijl.ac.jp/biblio/100232367/250")</f>
        <v>https://kokusho.nijl.ac.jp/biblio/100232367/250</v>
      </c>
      <c r="E1970" s="22"/>
      <c r="F1970" s="22"/>
      <c r="G1970" s="22"/>
    </row>
    <row r="1971" spans="1:7" x14ac:dyDescent="0.15">
      <c r="A1971" s="19" t="s">
        <v>6767</v>
      </c>
      <c r="B1971" s="25" t="s">
        <v>7859</v>
      </c>
      <c r="C1971" s="22"/>
      <c r="D1971" s="26" t="str">
        <f t="shared" si="147"/>
        <v>https://kokusho.nijl.ac.jp/biblio/100232367/250</v>
      </c>
      <c r="E1971" s="22"/>
      <c r="F1971" s="22"/>
      <c r="G1971" s="22"/>
    </row>
    <row r="1972" spans="1:7" x14ac:dyDescent="0.15">
      <c r="A1972" s="19" t="s">
        <v>6767</v>
      </c>
      <c r="B1972" s="25" t="s">
        <v>7860</v>
      </c>
      <c r="C1972" s="22"/>
      <c r="D1972" s="26" t="str">
        <f t="shared" si="147"/>
        <v>https://kokusho.nijl.ac.jp/biblio/100232367/250</v>
      </c>
      <c r="E1972" s="22"/>
      <c r="F1972" s="22"/>
      <c r="G1972" s="22"/>
    </row>
    <row r="1973" spans="1:7" x14ac:dyDescent="0.15">
      <c r="A1973" s="19" t="s">
        <v>6767</v>
      </c>
      <c r="B1973" s="25" t="s">
        <v>7861</v>
      </c>
      <c r="C1973" s="22"/>
      <c r="D1973" s="26" t="str">
        <f t="shared" si="147"/>
        <v>https://kokusho.nijl.ac.jp/biblio/100232367/250</v>
      </c>
      <c r="E1973" s="22"/>
      <c r="F1973" s="22"/>
      <c r="G1973" s="22"/>
    </row>
    <row r="1974" spans="1:7" x14ac:dyDescent="0.15">
      <c r="A1974" s="19" t="s">
        <v>6767</v>
      </c>
      <c r="B1974" s="25" t="s">
        <v>7862</v>
      </c>
      <c r="C1974" s="22"/>
      <c r="D1974" s="26" t="str">
        <f t="shared" si="147"/>
        <v>https://kokusho.nijl.ac.jp/biblio/100232367/250</v>
      </c>
      <c r="E1974" s="22"/>
      <c r="F1974" s="22"/>
      <c r="G1974" s="22"/>
    </row>
    <row r="1975" spans="1:7" x14ac:dyDescent="0.15">
      <c r="A1975" s="19" t="s">
        <v>6767</v>
      </c>
      <c r="B1975" s="25" t="s">
        <v>7863</v>
      </c>
      <c r="C1975" s="22"/>
      <c r="D1975" s="26" t="str">
        <f t="shared" si="147"/>
        <v>https://kokusho.nijl.ac.jp/biblio/100232367/250</v>
      </c>
      <c r="E1975" s="22"/>
      <c r="F1975" s="22"/>
      <c r="G1975" s="22"/>
    </row>
    <row r="1976" spans="1:7" x14ac:dyDescent="0.15">
      <c r="A1976" s="19" t="s">
        <v>6767</v>
      </c>
      <c r="B1976" s="25" t="s">
        <v>7864</v>
      </c>
      <c r="C1976" s="22"/>
      <c r="D1976" s="26" t="str">
        <f t="shared" si="147"/>
        <v>https://kokusho.nijl.ac.jp/biblio/100232367/250</v>
      </c>
      <c r="E1976" s="22"/>
      <c r="F1976" s="22"/>
      <c r="G1976" s="22"/>
    </row>
    <row r="1977" spans="1:7" x14ac:dyDescent="0.15">
      <c r="A1977" s="19" t="s">
        <v>6767</v>
      </c>
      <c r="B1977" s="25" t="s">
        <v>7865</v>
      </c>
      <c r="C1977" s="22"/>
      <c r="D1977" s="26" t="str">
        <f t="shared" si="147"/>
        <v>https://kokusho.nijl.ac.jp/biblio/100232367/250</v>
      </c>
      <c r="E1977" s="22"/>
      <c r="F1977" s="22"/>
      <c r="G1977" s="22"/>
    </row>
    <row r="1978" spans="1:7" x14ac:dyDescent="0.15">
      <c r="A1978" s="19" t="s">
        <v>6767</v>
      </c>
      <c r="B1978" s="25" t="s">
        <v>7866</v>
      </c>
      <c r="C1978" s="22"/>
      <c r="D1978" s="26" t="str">
        <f t="shared" ref="D1978:D1985" si="148">HYPERLINK("https://kokusho.nijl.ac.jp/biblio/100232367/251")</f>
        <v>https://kokusho.nijl.ac.jp/biblio/100232367/251</v>
      </c>
      <c r="E1978" s="22"/>
      <c r="F1978" s="22"/>
      <c r="G1978" s="22"/>
    </row>
    <row r="1979" spans="1:7" x14ac:dyDescent="0.15">
      <c r="A1979" s="19" t="s">
        <v>6767</v>
      </c>
      <c r="B1979" s="25" t="s">
        <v>7867</v>
      </c>
      <c r="C1979" s="22"/>
      <c r="D1979" s="26" t="str">
        <f t="shared" si="148"/>
        <v>https://kokusho.nijl.ac.jp/biblio/100232367/251</v>
      </c>
      <c r="E1979" s="22"/>
      <c r="F1979" s="22"/>
      <c r="G1979" s="22"/>
    </row>
    <row r="1980" spans="1:7" x14ac:dyDescent="0.15">
      <c r="A1980" s="19" t="s">
        <v>6767</v>
      </c>
      <c r="B1980" s="25" t="s">
        <v>7868</v>
      </c>
      <c r="C1980" s="22"/>
      <c r="D1980" s="26" t="str">
        <f t="shared" si="148"/>
        <v>https://kokusho.nijl.ac.jp/biblio/100232367/251</v>
      </c>
      <c r="E1980" s="22"/>
      <c r="F1980" s="22"/>
      <c r="G1980" s="22"/>
    </row>
    <row r="1981" spans="1:7" x14ac:dyDescent="0.15">
      <c r="A1981" s="19" t="s">
        <v>6767</v>
      </c>
      <c r="B1981" s="25" t="s">
        <v>7869</v>
      </c>
      <c r="C1981" s="22"/>
      <c r="D1981" s="26" t="str">
        <f t="shared" si="148"/>
        <v>https://kokusho.nijl.ac.jp/biblio/100232367/251</v>
      </c>
      <c r="E1981" s="22"/>
      <c r="F1981" s="22"/>
      <c r="G1981" s="22"/>
    </row>
    <row r="1982" spans="1:7" ht="40.5" x14ac:dyDescent="0.15">
      <c r="A1982" s="19" t="s">
        <v>6767</v>
      </c>
      <c r="B1982" s="25" t="s">
        <v>7870</v>
      </c>
      <c r="C1982" s="22"/>
      <c r="D1982" s="26" t="str">
        <f t="shared" si="148"/>
        <v>https://kokusho.nijl.ac.jp/biblio/100232367/251</v>
      </c>
      <c r="E1982" s="22"/>
      <c r="F1982" s="22"/>
      <c r="G1982" s="22"/>
    </row>
    <row r="1983" spans="1:7" ht="40.5" x14ac:dyDescent="0.15">
      <c r="A1983" s="19" t="s">
        <v>6767</v>
      </c>
      <c r="B1983" s="25" t="s">
        <v>7871</v>
      </c>
      <c r="C1983" s="22"/>
      <c r="D1983" s="26" t="str">
        <f t="shared" si="148"/>
        <v>https://kokusho.nijl.ac.jp/biblio/100232367/251</v>
      </c>
      <c r="E1983" s="22"/>
      <c r="F1983" s="22"/>
      <c r="G1983" s="22"/>
    </row>
    <row r="1984" spans="1:7" x14ac:dyDescent="0.15">
      <c r="A1984" s="19" t="s">
        <v>6767</v>
      </c>
      <c r="B1984" s="25" t="s">
        <v>7872</v>
      </c>
      <c r="C1984" s="22"/>
      <c r="D1984" s="26" t="str">
        <f t="shared" si="148"/>
        <v>https://kokusho.nijl.ac.jp/biblio/100232367/251</v>
      </c>
      <c r="E1984" s="22"/>
      <c r="F1984" s="22"/>
      <c r="G1984" s="22"/>
    </row>
    <row r="1985" spans="1:7" x14ac:dyDescent="0.15">
      <c r="A1985" s="19" t="s">
        <v>6767</v>
      </c>
      <c r="B1985" s="25" t="s">
        <v>7873</v>
      </c>
      <c r="C1985" s="22"/>
      <c r="D1985" s="26" t="str">
        <f t="shared" si="148"/>
        <v>https://kokusho.nijl.ac.jp/biblio/100232367/251</v>
      </c>
      <c r="E1985" s="22"/>
      <c r="F1985" s="22"/>
      <c r="G1985" s="22"/>
    </row>
    <row r="1986" spans="1:7" x14ac:dyDescent="0.15">
      <c r="A1986" s="19" t="s">
        <v>6767</v>
      </c>
      <c r="B1986" s="25" t="s">
        <v>7874</v>
      </c>
      <c r="C1986" s="22"/>
      <c r="D1986" s="26" t="str">
        <f>HYPERLINK("https://kokusho.nijl.ac.jp/biblio/100232367/252")</f>
        <v>https://kokusho.nijl.ac.jp/biblio/100232367/252</v>
      </c>
      <c r="E1986" s="22"/>
      <c r="F1986" s="22"/>
      <c r="G1986" s="22"/>
    </row>
    <row r="1987" spans="1:7" x14ac:dyDescent="0.15">
      <c r="A1987" s="19" t="s">
        <v>6767</v>
      </c>
      <c r="B1987" s="25" t="s">
        <v>6286</v>
      </c>
      <c r="C1987" s="22"/>
      <c r="D1987" s="26" t="str">
        <f>HYPERLINK("https://kokusho.nijl.ac.jp/biblio/100232367/252")</f>
        <v>https://kokusho.nijl.ac.jp/biblio/100232367/252</v>
      </c>
      <c r="E1987" s="22"/>
      <c r="F1987" s="22"/>
      <c r="G1987" s="22"/>
    </row>
    <row r="1988" spans="1:7" x14ac:dyDescent="0.15">
      <c r="A1988" s="19" t="s">
        <v>6767</v>
      </c>
      <c r="B1988" s="25" t="s">
        <v>7875</v>
      </c>
      <c r="C1988" s="22"/>
      <c r="D1988" s="26" t="str">
        <f>HYPERLINK("https://kokusho.nijl.ac.jp/biblio/100232367/252")</f>
        <v>https://kokusho.nijl.ac.jp/biblio/100232367/252</v>
      </c>
      <c r="E1988" s="22"/>
      <c r="F1988" s="22"/>
      <c r="G1988" s="22"/>
    </row>
    <row r="1989" spans="1:7" x14ac:dyDescent="0.15">
      <c r="A1989" s="19" t="s">
        <v>6767</v>
      </c>
      <c r="B1989" s="25" t="s">
        <v>7876</v>
      </c>
      <c r="C1989" s="22"/>
      <c r="D1989" s="26" t="str">
        <f>HYPERLINK("https://kokusho.nijl.ac.jp/biblio/100232367/252")</f>
        <v>https://kokusho.nijl.ac.jp/biblio/100232367/252</v>
      </c>
      <c r="E1989" s="22"/>
      <c r="F1989" s="22"/>
      <c r="G1989" s="22"/>
    </row>
    <row r="1990" spans="1:7" x14ac:dyDescent="0.15">
      <c r="A1990" s="19" t="s">
        <v>6767</v>
      </c>
      <c r="B1990" s="19" t="s">
        <v>8427</v>
      </c>
      <c r="C1990" s="22"/>
      <c r="D1990" s="26" t="str">
        <f>HYPERLINK("https://kokusho.nijl.ac.jp/biblio/100232367/253")</f>
        <v>https://kokusho.nijl.ac.jp/biblio/100232367/253</v>
      </c>
      <c r="E1990" s="22"/>
      <c r="F1990" s="22"/>
      <c r="G1990" s="22"/>
    </row>
    <row r="1991" spans="1:7" x14ac:dyDescent="0.15">
      <c r="A1991" s="19" t="s">
        <v>6767</v>
      </c>
      <c r="B1991" s="25" t="s">
        <v>7877</v>
      </c>
      <c r="C1991" s="22"/>
      <c r="D1991" s="26" t="str">
        <f>HYPERLINK("https://kokusho.nijl.ac.jp/biblio/100232367/256")</f>
        <v>https://kokusho.nijl.ac.jp/biblio/100232367/256</v>
      </c>
      <c r="E1991" s="22"/>
      <c r="F1991" s="22"/>
      <c r="G1991" s="22"/>
    </row>
    <row r="1992" spans="1:7" x14ac:dyDescent="0.15">
      <c r="A1992" s="19" t="s">
        <v>6767</v>
      </c>
      <c r="B1992" s="25" t="s">
        <v>7878</v>
      </c>
      <c r="C1992" s="22"/>
      <c r="D1992" s="26" t="str">
        <f>HYPERLINK("https://kokusho.nijl.ac.jp/biblio/100232367/256")</f>
        <v>https://kokusho.nijl.ac.jp/biblio/100232367/256</v>
      </c>
      <c r="E1992" s="22"/>
      <c r="F1992" s="22"/>
      <c r="G1992" s="22"/>
    </row>
    <row r="1993" spans="1:7" x14ac:dyDescent="0.15">
      <c r="A1993" s="19" t="s">
        <v>6767</v>
      </c>
      <c r="B1993" s="25" t="s">
        <v>7879</v>
      </c>
      <c r="C1993" s="22"/>
      <c r="D1993" s="26" t="str">
        <f>HYPERLINK("https://kokusho.nijl.ac.jp/biblio/100232367/256")</f>
        <v>https://kokusho.nijl.ac.jp/biblio/100232367/256</v>
      </c>
      <c r="E1993" s="22"/>
      <c r="F1993" s="22"/>
      <c r="G1993" s="22"/>
    </row>
    <row r="1994" spans="1:7" x14ac:dyDescent="0.15">
      <c r="A1994" s="19" t="s">
        <v>6767</v>
      </c>
      <c r="B1994" s="25" t="s">
        <v>7880</v>
      </c>
      <c r="C1994" s="22"/>
      <c r="D1994" s="26" t="str">
        <f t="shared" ref="D1994:D1999" si="149">HYPERLINK("https://kokusho.nijl.ac.jp/biblio/100232367/257")</f>
        <v>https://kokusho.nijl.ac.jp/biblio/100232367/257</v>
      </c>
      <c r="E1994" s="22"/>
      <c r="F1994" s="22"/>
      <c r="G1994" s="22"/>
    </row>
    <row r="1995" spans="1:7" x14ac:dyDescent="0.15">
      <c r="A1995" s="19" t="s">
        <v>6767</v>
      </c>
      <c r="B1995" s="25" t="s">
        <v>7881</v>
      </c>
      <c r="C1995" s="22"/>
      <c r="D1995" s="26" t="str">
        <f t="shared" si="149"/>
        <v>https://kokusho.nijl.ac.jp/biblio/100232367/257</v>
      </c>
      <c r="E1995" s="22"/>
      <c r="F1995" s="22"/>
      <c r="G1995" s="22"/>
    </row>
    <row r="1996" spans="1:7" x14ac:dyDescent="0.15">
      <c r="A1996" s="19" t="s">
        <v>6767</v>
      </c>
      <c r="B1996" s="25" t="s">
        <v>7882</v>
      </c>
      <c r="C1996" s="22"/>
      <c r="D1996" s="26" t="str">
        <f t="shared" si="149"/>
        <v>https://kokusho.nijl.ac.jp/biblio/100232367/257</v>
      </c>
      <c r="E1996" s="22"/>
      <c r="F1996" s="22"/>
      <c r="G1996" s="22"/>
    </row>
    <row r="1997" spans="1:7" x14ac:dyDescent="0.15">
      <c r="A1997" s="19" t="s">
        <v>6767</v>
      </c>
      <c r="B1997" s="25" t="s">
        <v>7883</v>
      </c>
      <c r="C1997" s="22"/>
      <c r="D1997" s="26" t="str">
        <f t="shared" si="149"/>
        <v>https://kokusho.nijl.ac.jp/biblio/100232367/257</v>
      </c>
      <c r="E1997" s="22"/>
      <c r="F1997" s="22"/>
      <c r="G1997" s="22"/>
    </row>
    <row r="1998" spans="1:7" x14ac:dyDescent="0.15">
      <c r="A1998" s="19" t="s">
        <v>6767</v>
      </c>
      <c r="B1998" s="25" t="s">
        <v>7884</v>
      </c>
      <c r="C1998" s="22"/>
      <c r="D1998" s="26" t="str">
        <f t="shared" si="149"/>
        <v>https://kokusho.nijl.ac.jp/biblio/100232367/257</v>
      </c>
      <c r="E1998" s="22"/>
      <c r="F1998" s="22"/>
      <c r="G1998" s="22"/>
    </row>
    <row r="1999" spans="1:7" x14ac:dyDescent="0.15">
      <c r="A1999" s="19" t="s">
        <v>6767</v>
      </c>
      <c r="B1999" s="25" t="s">
        <v>7885</v>
      </c>
      <c r="C1999" s="22"/>
      <c r="D1999" s="26" t="str">
        <f t="shared" si="149"/>
        <v>https://kokusho.nijl.ac.jp/biblio/100232367/257</v>
      </c>
      <c r="E1999" s="22"/>
      <c r="F1999" s="22"/>
      <c r="G1999" s="22"/>
    </row>
    <row r="2000" spans="1:7" x14ac:dyDescent="0.15">
      <c r="A2000" s="19" t="s">
        <v>6767</v>
      </c>
      <c r="B2000" s="25" t="s">
        <v>7886</v>
      </c>
      <c r="C2000" s="22"/>
      <c r="D2000" s="26" t="str">
        <f>HYPERLINK("https://kokusho.nijl.ac.jp/biblio/100232367/258")</f>
        <v>https://kokusho.nijl.ac.jp/biblio/100232367/258</v>
      </c>
      <c r="E2000" s="22"/>
      <c r="F2000" s="22"/>
      <c r="G2000" s="22"/>
    </row>
    <row r="2001" spans="1:7" x14ac:dyDescent="0.15">
      <c r="A2001" s="19" t="s">
        <v>6767</v>
      </c>
      <c r="B2001" s="25" t="s">
        <v>7887</v>
      </c>
      <c r="C2001" s="22"/>
      <c r="D2001" s="26" t="str">
        <f>HYPERLINK("https://kokusho.nijl.ac.jp/biblio/100232367/258")</f>
        <v>https://kokusho.nijl.ac.jp/biblio/100232367/258</v>
      </c>
      <c r="E2001" s="22"/>
      <c r="F2001" s="22"/>
      <c r="G2001" s="22"/>
    </row>
    <row r="2002" spans="1:7" x14ac:dyDescent="0.15">
      <c r="A2002" s="19" t="s">
        <v>6767</v>
      </c>
      <c r="B2002" s="25" t="s">
        <v>7888</v>
      </c>
      <c r="C2002" s="22"/>
      <c r="D2002" s="26" t="str">
        <f>HYPERLINK("https://kokusho.nijl.ac.jp/biblio/100232367/258")</f>
        <v>https://kokusho.nijl.ac.jp/biblio/100232367/258</v>
      </c>
      <c r="E2002" s="22"/>
      <c r="F2002" s="22"/>
      <c r="G2002" s="22"/>
    </row>
    <row r="2003" spans="1:7" x14ac:dyDescent="0.15">
      <c r="A2003" s="19" t="s">
        <v>6767</v>
      </c>
      <c r="B2003" s="25" t="s">
        <v>7889</v>
      </c>
      <c r="C2003" s="22"/>
      <c r="D2003" s="26" t="str">
        <f>HYPERLINK("https://kokusho.nijl.ac.jp/biblio/100232367/258")</f>
        <v>https://kokusho.nijl.ac.jp/biblio/100232367/258</v>
      </c>
      <c r="E2003" s="22"/>
      <c r="F2003" s="22"/>
      <c r="G2003" s="22"/>
    </row>
    <row r="2004" spans="1:7" x14ac:dyDescent="0.15">
      <c r="A2004" s="19" t="s">
        <v>6767</v>
      </c>
      <c r="B2004" s="25" t="s">
        <v>6294</v>
      </c>
      <c r="C2004" s="22"/>
      <c r="D2004" s="26" t="str">
        <f>HYPERLINK("https://kokusho.nijl.ac.jp/biblio/100232367/258")</f>
        <v>https://kokusho.nijl.ac.jp/biblio/100232367/258</v>
      </c>
      <c r="E2004" s="22"/>
      <c r="F2004" s="22"/>
      <c r="G2004" s="22"/>
    </row>
    <row r="2005" spans="1:7" x14ac:dyDescent="0.15">
      <c r="A2005" s="19" t="s">
        <v>6767</v>
      </c>
      <c r="B2005" s="25" t="s">
        <v>7890</v>
      </c>
      <c r="C2005" s="22"/>
      <c r="D2005" s="26" t="str">
        <f>HYPERLINK("https://kokusho.nijl.ac.jp/biblio/100232367/259")</f>
        <v>https://kokusho.nijl.ac.jp/biblio/100232367/259</v>
      </c>
      <c r="E2005" s="22"/>
      <c r="F2005" s="22"/>
      <c r="G2005" s="22"/>
    </row>
    <row r="2006" spans="1:7" x14ac:dyDescent="0.15">
      <c r="A2006" s="19" t="s">
        <v>6767</v>
      </c>
      <c r="B2006" s="25" t="s">
        <v>7891</v>
      </c>
      <c r="C2006" s="22"/>
      <c r="D2006" s="26" t="str">
        <f>HYPERLINK("https://kokusho.nijl.ac.jp/biblio/100232367/259")</f>
        <v>https://kokusho.nijl.ac.jp/biblio/100232367/259</v>
      </c>
      <c r="E2006" s="22"/>
      <c r="F2006" s="22"/>
      <c r="G2006" s="22"/>
    </row>
    <row r="2007" spans="1:7" x14ac:dyDescent="0.15">
      <c r="A2007" s="19" t="s">
        <v>6767</v>
      </c>
      <c r="B2007" s="25" t="s">
        <v>6243</v>
      </c>
      <c r="C2007" s="22"/>
      <c r="D2007" s="26" t="str">
        <f>HYPERLINK("https://kokusho.nijl.ac.jp/biblio/100232367/259")</f>
        <v>https://kokusho.nijl.ac.jp/biblio/100232367/259</v>
      </c>
      <c r="E2007" s="22"/>
      <c r="F2007" s="22"/>
      <c r="G2007" s="22"/>
    </row>
    <row r="2008" spans="1:7" x14ac:dyDescent="0.15">
      <c r="A2008" s="19" t="s">
        <v>6767</v>
      </c>
      <c r="B2008" s="25" t="s">
        <v>7892</v>
      </c>
      <c r="C2008" s="22"/>
      <c r="D2008" s="26" t="str">
        <f>HYPERLINK("https://kokusho.nijl.ac.jp/biblio/100232367/259")</f>
        <v>https://kokusho.nijl.ac.jp/biblio/100232367/259</v>
      </c>
      <c r="E2008" s="22"/>
      <c r="F2008" s="22"/>
      <c r="G2008" s="22"/>
    </row>
    <row r="2009" spans="1:7" ht="18.75" x14ac:dyDescent="0.15">
      <c r="A2009" s="19" t="s">
        <v>6767</v>
      </c>
      <c r="B2009" s="25" t="s">
        <v>8966</v>
      </c>
      <c r="C2009" s="22"/>
      <c r="D2009" s="26" t="str">
        <f>HYPERLINK("https://kokusho.nijl.ac.jp/biblio/100232367/259")</f>
        <v>https://kokusho.nijl.ac.jp/biblio/100232367/259</v>
      </c>
      <c r="E2009" s="22"/>
      <c r="F2009" s="22"/>
      <c r="G2009" s="22"/>
    </row>
    <row r="2010" spans="1:7" x14ac:dyDescent="0.15">
      <c r="A2010" s="19" t="s">
        <v>6767</v>
      </c>
      <c r="B2010" s="25" t="s">
        <v>6274</v>
      </c>
      <c r="C2010" s="22"/>
      <c r="D2010" s="26" t="str">
        <f t="shared" ref="D2010:D2015" si="150">HYPERLINK("https://kokusho.nijl.ac.jp/biblio/100232367/260")</f>
        <v>https://kokusho.nijl.ac.jp/biblio/100232367/260</v>
      </c>
      <c r="E2010" s="22"/>
      <c r="F2010" s="22"/>
      <c r="G2010" s="22"/>
    </row>
    <row r="2011" spans="1:7" x14ac:dyDescent="0.15">
      <c r="A2011" s="19" t="s">
        <v>6767</v>
      </c>
      <c r="B2011" s="25" t="s">
        <v>7893</v>
      </c>
      <c r="C2011" s="22"/>
      <c r="D2011" s="26" t="str">
        <f t="shared" si="150"/>
        <v>https://kokusho.nijl.ac.jp/biblio/100232367/260</v>
      </c>
      <c r="E2011" s="22"/>
      <c r="F2011" s="22"/>
      <c r="G2011" s="22"/>
    </row>
    <row r="2012" spans="1:7" x14ac:dyDescent="0.15">
      <c r="A2012" s="19" t="s">
        <v>6767</v>
      </c>
      <c r="B2012" s="25" t="s">
        <v>7894</v>
      </c>
      <c r="C2012" s="22"/>
      <c r="D2012" s="26" t="str">
        <f t="shared" si="150"/>
        <v>https://kokusho.nijl.ac.jp/biblio/100232367/260</v>
      </c>
      <c r="E2012" s="22"/>
      <c r="F2012" s="22"/>
      <c r="G2012" s="22"/>
    </row>
    <row r="2013" spans="1:7" x14ac:dyDescent="0.15">
      <c r="A2013" s="19" t="s">
        <v>6767</v>
      </c>
      <c r="B2013" s="25" t="s">
        <v>7895</v>
      </c>
      <c r="C2013" s="22"/>
      <c r="D2013" s="26" t="str">
        <f t="shared" si="150"/>
        <v>https://kokusho.nijl.ac.jp/biblio/100232367/260</v>
      </c>
      <c r="E2013" s="22"/>
      <c r="F2013" s="22"/>
      <c r="G2013" s="22"/>
    </row>
    <row r="2014" spans="1:7" x14ac:dyDescent="0.15">
      <c r="A2014" s="19" t="s">
        <v>6767</v>
      </c>
      <c r="B2014" s="25" t="s">
        <v>7896</v>
      </c>
      <c r="C2014" s="22"/>
      <c r="D2014" s="26" t="str">
        <f t="shared" si="150"/>
        <v>https://kokusho.nijl.ac.jp/biblio/100232367/260</v>
      </c>
      <c r="E2014" s="22"/>
      <c r="F2014" s="22"/>
      <c r="G2014" s="22"/>
    </row>
    <row r="2015" spans="1:7" x14ac:dyDescent="0.15">
      <c r="A2015" s="19" t="s">
        <v>6767</v>
      </c>
      <c r="B2015" s="25" t="s">
        <v>7897</v>
      </c>
      <c r="C2015" s="22"/>
      <c r="D2015" s="26" t="str">
        <f t="shared" si="150"/>
        <v>https://kokusho.nijl.ac.jp/biblio/100232367/260</v>
      </c>
      <c r="E2015" s="22"/>
      <c r="F2015" s="22"/>
      <c r="G2015" s="22"/>
    </row>
    <row r="2016" spans="1:7" x14ac:dyDescent="0.15">
      <c r="A2016" s="19" t="s">
        <v>6767</v>
      </c>
      <c r="B2016" s="25" t="s">
        <v>7898</v>
      </c>
      <c r="C2016" s="22"/>
      <c r="D2016" s="26" t="str">
        <f t="shared" ref="D2016:D2021" si="151">HYPERLINK("https://kokusho.nijl.ac.jp/biblio/100232367/261")</f>
        <v>https://kokusho.nijl.ac.jp/biblio/100232367/261</v>
      </c>
      <c r="E2016" s="22"/>
      <c r="F2016" s="22"/>
      <c r="G2016" s="22"/>
    </row>
    <row r="2017" spans="1:7" x14ac:dyDescent="0.15">
      <c r="A2017" s="19" t="s">
        <v>6767</v>
      </c>
      <c r="B2017" s="25" t="s">
        <v>7899</v>
      </c>
      <c r="C2017" s="22"/>
      <c r="D2017" s="26" t="str">
        <f t="shared" si="151"/>
        <v>https://kokusho.nijl.ac.jp/biblio/100232367/261</v>
      </c>
      <c r="E2017" s="22"/>
      <c r="F2017" s="22"/>
      <c r="G2017" s="22"/>
    </row>
    <row r="2018" spans="1:7" x14ac:dyDescent="0.15">
      <c r="A2018" s="19" t="s">
        <v>6767</v>
      </c>
      <c r="B2018" s="25" t="s">
        <v>7900</v>
      </c>
      <c r="C2018" s="22"/>
      <c r="D2018" s="26" t="str">
        <f t="shared" si="151"/>
        <v>https://kokusho.nijl.ac.jp/biblio/100232367/261</v>
      </c>
      <c r="E2018" s="22"/>
      <c r="F2018" s="22"/>
      <c r="G2018" s="22"/>
    </row>
    <row r="2019" spans="1:7" ht="18.75" x14ac:dyDescent="0.15">
      <c r="A2019" s="19" t="s">
        <v>6767</v>
      </c>
      <c r="B2019" s="25" t="s">
        <v>8967</v>
      </c>
      <c r="C2019" s="22"/>
      <c r="D2019" s="26" t="str">
        <f t="shared" si="151"/>
        <v>https://kokusho.nijl.ac.jp/biblio/100232367/261</v>
      </c>
      <c r="E2019" s="22"/>
      <c r="F2019" s="22"/>
      <c r="G2019" s="22"/>
    </row>
    <row r="2020" spans="1:7" x14ac:dyDescent="0.15">
      <c r="A2020" s="19" t="s">
        <v>6767</v>
      </c>
      <c r="B2020" s="25" t="s">
        <v>7901</v>
      </c>
      <c r="C2020" s="22"/>
      <c r="D2020" s="26" t="str">
        <f t="shared" si="151"/>
        <v>https://kokusho.nijl.ac.jp/biblio/100232367/261</v>
      </c>
      <c r="E2020" s="22"/>
      <c r="F2020" s="22"/>
      <c r="G2020" s="22"/>
    </row>
    <row r="2021" spans="1:7" x14ac:dyDescent="0.15">
      <c r="A2021" s="19" t="s">
        <v>6767</v>
      </c>
      <c r="B2021" s="25" t="s">
        <v>7902</v>
      </c>
      <c r="C2021" s="22"/>
      <c r="D2021" s="26" t="str">
        <f t="shared" si="151"/>
        <v>https://kokusho.nijl.ac.jp/biblio/100232367/261</v>
      </c>
      <c r="E2021" s="22"/>
      <c r="F2021" s="22"/>
      <c r="G2021" s="22"/>
    </row>
    <row r="2022" spans="1:7" x14ac:dyDescent="0.15">
      <c r="A2022" s="19" t="s">
        <v>6767</v>
      </c>
      <c r="B2022" s="25" t="s">
        <v>7903</v>
      </c>
      <c r="C2022" s="22"/>
      <c r="D2022" s="26" t="str">
        <f>HYPERLINK("https://kokusho.nijl.ac.jp/biblio/100232367/262")</f>
        <v>https://kokusho.nijl.ac.jp/biblio/100232367/262</v>
      </c>
      <c r="E2022" s="22"/>
      <c r="F2022" s="22"/>
      <c r="G2022" s="22"/>
    </row>
    <row r="2023" spans="1:7" x14ac:dyDescent="0.15">
      <c r="A2023" s="19" t="s">
        <v>6767</v>
      </c>
      <c r="B2023" s="25" t="s">
        <v>7904</v>
      </c>
      <c r="C2023" s="22"/>
      <c r="D2023" s="26" t="str">
        <f>HYPERLINK("https://kokusho.nijl.ac.jp/biblio/100232367/262")</f>
        <v>https://kokusho.nijl.ac.jp/biblio/100232367/262</v>
      </c>
      <c r="E2023" s="22"/>
      <c r="F2023" s="22"/>
      <c r="G2023" s="22"/>
    </row>
    <row r="2024" spans="1:7" x14ac:dyDescent="0.15">
      <c r="A2024" s="19" t="s">
        <v>6767</v>
      </c>
      <c r="B2024" s="25" t="s">
        <v>7905</v>
      </c>
      <c r="C2024" s="22"/>
      <c r="D2024" s="26" t="str">
        <f>HYPERLINK("https://kokusho.nijl.ac.jp/biblio/100232367/262")</f>
        <v>https://kokusho.nijl.ac.jp/biblio/100232367/262</v>
      </c>
      <c r="E2024" s="22"/>
      <c r="F2024" s="22"/>
      <c r="G2024" s="22"/>
    </row>
    <row r="2025" spans="1:7" x14ac:dyDescent="0.15">
      <c r="A2025" s="19" t="s">
        <v>6767</v>
      </c>
      <c r="B2025" s="25" t="s">
        <v>7906</v>
      </c>
      <c r="C2025" s="22"/>
      <c r="D2025" s="26" t="str">
        <f>HYPERLINK("https://kokusho.nijl.ac.jp/biblio/100232367/262")</f>
        <v>https://kokusho.nijl.ac.jp/biblio/100232367/262</v>
      </c>
      <c r="E2025" s="22"/>
      <c r="F2025" s="22"/>
      <c r="G2025" s="22"/>
    </row>
    <row r="2026" spans="1:7" x14ac:dyDescent="0.15">
      <c r="A2026" s="19" t="s">
        <v>6767</v>
      </c>
      <c r="B2026" s="25" t="s">
        <v>6247</v>
      </c>
      <c r="C2026" s="22"/>
      <c r="D2026" s="26" t="str">
        <f>HYPERLINK("https://kokusho.nijl.ac.jp/biblio/100232367/262")</f>
        <v>https://kokusho.nijl.ac.jp/biblio/100232367/262</v>
      </c>
      <c r="E2026" s="22"/>
      <c r="F2026" s="22"/>
      <c r="G2026" s="22"/>
    </row>
    <row r="2027" spans="1:7" x14ac:dyDescent="0.15">
      <c r="A2027" s="19" t="s">
        <v>6767</v>
      </c>
      <c r="B2027" s="25" t="s">
        <v>7907</v>
      </c>
      <c r="C2027" s="22"/>
      <c r="D2027" s="26" t="str">
        <f>HYPERLINK("https://kokusho.nijl.ac.jp/biblio/100232367/264")</f>
        <v>https://kokusho.nijl.ac.jp/biblio/100232367/264</v>
      </c>
      <c r="E2027" s="22"/>
      <c r="F2027" s="22"/>
      <c r="G2027" s="22"/>
    </row>
    <row r="2028" spans="1:7" ht="40.5" x14ac:dyDescent="0.15">
      <c r="A2028" s="19" t="s">
        <v>6767</v>
      </c>
      <c r="B2028" s="25" t="s">
        <v>7908</v>
      </c>
      <c r="C2028" s="22"/>
      <c r="D2028" s="26" t="str">
        <f>HYPERLINK("https://kokusho.nijl.ac.jp/biblio/100232367/264")</f>
        <v>https://kokusho.nijl.ac.jp/biblio/100232367/264</v>
      </c>
      <c r="E2028" s="22"/>
      <c r="F2028" s="22"/>
      <c r="G2028" s="22"/>
    </row>
    <row r="2029" spans="1:7" x14ac:dyDescent="0.15">
      <c r="A2029" s="19" t="s">
        <v>6767</v>
      </c>
      <c r="B2029" s="25" t="s">
        <v>7909</v>
      </c>
      <c r="C2029" s="22"/>
      <c r="D2029" s="26" t="str">
        <f>HYPERLINK("https://kokusho.nijl.ac.jp/biblio/100232367/264")</f>
        <v>https://kokusho.nijl.ac.jp/biblio/100232367/264</v>
      </c>
      <c r="E2029" s="22"/>
      <c r="F2029" s="22"/>
      <c r="G2029" s="22"/>
    </row>
    <row r="2030" spans="1:7" x14ac:dyDescent="0.15">
      <c r="A2030" s="19" t="s">
        <v>6767</v>
      </c>
      <c r="B2030" s="25" t="s">
        <v>6289</v>
      </c>
      <c r="C2030" s="22"/>
      <c r="D2030" s="26" t="str">
        <f>HYPERLINK("https://kokusho.nijl.ac.jp/biblio/100232367/264")</f>
        <v>https://kokusho.nijl.ac.jp/biblio/100232367/264</v>
      </c>
      <c r="E2030" s="22"/>
      <c r="F2030" s="22"/>
      <c r="G2030" s="22"/>
    </row>
    <row r="2031" spans="1:7" x14ac:dyDescent="0.15">
      <c r="A2031" s="19" t="s">
        <v>6767</v>
      </c>
      <c r="B2031" s="25" t="s">
        <v>7910</v>
      </c>
      <c r="C2031" s="22"/>
      <c r="D2031" s="26" t="str">
        <f>HYPERLINK("https://kokusho.nijl.ac.jp/biblio/100232367/268")</f>
        <v>https://kokusho.nijl.ac.jp/biblio/100232367/268</v>
      </c>
      <c r="E2031" s="22"/>
      <c r="F2031" s="22"/>
      <c r="G2031" s="22"/>
    </row>
    <row r="2032" spans="1:7" ht="27" x14ac:dyDescent="0.15">
      <c r="A2032" s="19" t="s">
        <v>6767</v>
      </c>
      <c r="B2032" s="25" t="s">
        <v>7911</v>
      </c>
      <c r="C2032" s="22"/>
      <c r="D2032" s="26" t="str">
        <f>HYPERLINK("https://kokusho.nijl.ac.jp/biblio/100232367/268")</f>
        <v>https://kokusho.nijl.ac.jp/biblio/100232367/268</v>
      </c>
      <c r="E2032" s="22"/>
      <c r="F2032" s="22"/>
      <c r="G2032" s="22"/>
    </row>
    <row r="2033" spans="1:7" x14ac:dyDescent="0.15">
      <c r="A2033" s="19" t="s">
        <v>6767</v>
      </c>
      <c r="B2033" s="25" t="s">
        <v>7912</v>
      </c>
      <c r="C2033" s="22"/>
      <c r="D2033" s="26" t="str">
        <f t="shared" ref="D2033:D2038" si="152">HYPERLINK("https://kokusho.nijl.ac.jp/biblio/100232367/269")</f>
        <v>https://kokusho.nijl.ac.jp/biblio/100232367/269</v>
      </c>
      <c r="E2033" s="22"/>
      <c r="F2033" s="22"/>
      <c r="G2033" s="22"/>
    </row>
    <row r="2034" spans="1:7" x14ac:dyDescent="0.15">
      <c r="A2034" s="19" t="s">
        <v>6767</v>
      </c>
      <c r="B2034" s="25" t="s">
        <v>7913</v>
      </c>
      <c r="C2034" s="22"/>
      <c r="D2034" s="26" t="str">
        <f t="shared" si="152"/>
        <v>https://kokusho.nijl.ac.jp/biblio/100232367/269</v>
      </c>
      <c r="E2034" s="22"/>
      <c r="F2034" s="22"/>
      <c r="G2034" s="22"/>
    </row>
    <row r="2035" spans="1:7" x14ac:dyDescent="0.15">
      <c r="A2035" s="19" t="s">
        <v>6767</v>
      </c>
      <c r="B2035" s="25" t="s">
        <v>7914</v>
      </c>
      <c r="C2035" s="22"/>
      <c r="D2035" s="26" t="str">
        <f t="shared" si="152"/>
        <v>https://kokusho.nijl.ac.jp/biblio/100232367/269</v>
      </c>
      <c r="E2035" s="22"/>
      <c r="F2035" s="22"/>
      <c r="G2035" s="22"/>
    </row>
    <row r="2036" spans="1:7" x14ac:dyDescent="0.15">
      <c r="A2036" s="19" t="s">
        <v>6767</v>
      </c>
      <c r="B2036" s="25" t="s">
        <v>7915</v>
      </c>
      <c r="C2036" s="22"/>
      <c r="D2036" s="26" t="str">
        <f t="shared" si="152"/>
        <v>https://kokusho.nijl.ac.jp/biblio/100232367/269</v>
      </c>
      <c r="E2036" s="22"/>
      <c r="F2036" s="22"/>
      <c r="G2036" s="22"/>
    </row>
    <row r="2037" spans="1:7" x14ac:dyDescent="0.15">
      <c r="A2037" s="19" t="s">
        <v>6767</v>
      </c>
      <c r="B2037" s="25" t="s">
        <v>7916</v>
      </c>
      <c r="C2037" s="22"/>
      <c r="D2037" s="26" t="str">
        <f t="shared" si="152"/>
        <v>https://kokusho.nijl.ac.jp/biblio/100232367/269</v>
      </c>
      <c r="E2037" s="22"/>
      <c r="F2037" s="22"/>
      <c r="G2037" s="22"/>
    </row>
    <row r="2038" spans="1:7" x14ac:dyDescent="0.15">
      <c r="A2038" s="19" t="s">
        <v>6767</v>
      </c>
      <c r="B2038" s="25" t="s">
        <v>7917</v>
      </c>
      <c r="C2038" s="22"/>
      <c r="D2038" s="26" t="str">
        <f t="shared" si="152"/>
        <v>https://kokusho.nijl.ac.jp/biblio/100232367/269</v>
      </c>
      <c r="E2038" s="22"/>
      <c r="F2038" s="22"/>
      <c r="G2038" s="22"/>
    </row>
    <row r="2039" spans="1:7" x14ac:dyDescent="0.15">
      <c r="A2039" s="19" t="s">
        <v>6767</v>
      </c>
      <c r="B2039" s="25" t="s">
        <v>7918</v>
      </c>
      <c r="C2039" s="22"/>
      <c r="D2039" s="26" t="str">
        <f>HYPERLINK("https://kokusho.nijl.ac.jp/biblio/100232367/270")</f>
        <v>https://kokusho.nijl.ac.jp/biblio/100232367/270</v>
      </c>
      <c r="E2039" s="22"/>
      <c r="F2039" s="22"/>
      <c r="G2039" s="22"/>
    </row>
    <row r="2040" spans="1:7" x14ac:dyDescent="0.15">
      <c r="A2040" s="19" t="s">
        <v>6767</v>
      </c>
      <c r="B2040" s="25" t="s">
        <v>7919</v>
      </c>
      <c r="C2040" s="22"/>
      <c r="D2040" s="26" t="str">
        <f>HYPERLINK("https://kokusho.nijl.ac.jp/biblio/100232367/270")</f>
        <v>https://kokusho.nijl.ac.jp/biblio/100232367/270</v>
      </c>
      <c r="E2040" s="22"/>
      <c r="F2040" s="22"/>
      <c r="G2040" s="22"/>
    </row>
    <row r="2041" spans="1:7" x14ac:dyDescent="0.15">
      <c r="A2041" s="19" t="s">
        <v>6767</v>
      </c>
      <c r="B2041" s="25" t="s">
        <v>7920</v>
      </c>
      <c r="C2041" s="22"/>
      <c r="D2041" s="26" t="str">
        <f>HYPERLINK("https://kokusho.nijl.ac.jp/biblio/100232367/270")</f>
        <v>https://kokusho.nijl.ac.jp/biblio/100232367/270</v>
      </c>
      <c r="E2041" s="22"/>
      <c r="F2041" s="22"/>
      <c r="G2041" s="22"/>
    </row>
    <row r="2042" spans="1:7" x14ac:dyDescent="0.15">
      <c r="A2042" s="19" t="s">
        <v>6767</v>
      </c>
      <c r="B2042" s="25" t="s">
        <v>7921</v>
      </c>
      <c r="C2042" s="22"/>
      <c r="D2042" s="26" t="str">
        <f>HYPERLINK("https://kokusho.nijl.ac.jp/biblio/100232367/270")</f>
        <v>https://kokusho.nijl.ac.jp/biblio/100232367/270</v>
      </c>
      <c r="E2042" s="22"/>
      <c r="F2042" s="22"/>
      <c r="G2042" s="22"/>
    </row>
    <row r="2043" spans="1:7" x14ac:dyDescent="0.15">
      <c r="A2043" s="19" t="s">
        <v>6767</v>
      </c>
      <c r="B2043" s="25" t="s">
        <v>7922</v>
      </c>
      <c r="C2043" s="22"/>
      <c r="D2043" s="26" t="str">
        <f>HYPERLINK("https://kokusho.nijl.ac.jp/biblio/100232367/270")</f>
        <v>https://kokusho.nijl.ac.jp/biblio/100232367/270</v>
      </c>
      <c r="E2043" s="22"/>
      <c r="F2043" s="22"/>
      <c r="G2043" s="22"/>
    </row>
    <row r="2044" spans="1:7" ht="40.5" x14ac:dyDescent="0.15">
      <c r="A2044" s="19" t="s">
        <v>6767</v>
      </c>
      <c r="B2044" s="25" t="s">
        <v>7923</v>
      </c>
      <c r="C2044" s="22"/>
      <c r="D2044" s="26" t="str">
        <f t="shared" ref="D2044:D2051" si="153">HYPERLINK("https://kokusho.nijl.ac.jp/biblio/100232367/271")</f>
        <v>https://kokusho.nijl.ac.jp/biblio/100232367/271</v>
      </c>
      <c r="E2044" s="22"/>
      <c r="F2044" s="22"/>
      <c r="G2044" s="22"/>
    </row>
    <row r="2045" spans="1:7" x14ac:dyDescent="0.15">
      <c r="A2045" s="19" t="s">
        <v>6767</v>
      </c>
      <c r="B2045" s="25" t="s">
        <v>7924</v>
      </c>
      <c r="C2045" s="22"/>
      <c r="D2045" s="26" t="str">
        <f t="shared" si="153"/>
        <v>https://kokusho.nijl.ac.jp/biblio/100232367/271</v>
      </c>
      <c r="E2045" s="22"/>
      <c r="F2045" s="22"/>
      <c r="G2045" s="22"/>
    </row>
    <row r="2046" spans="1:7" x14ac:dyDescent="0.15">
      <c r="A2046" s="19" t="s">
        <v>6767</v>
      </c>
      <c r="B2046" s="25" t="s">
        <v>7925</v>
      </c>
      <c r="C2046" s="22"/>
      <c r="D2046" s="26" t="str">
        <f t="shared" si="153"/>
        <v>https://kokusho.nijl.ac.jp/biblio/100232367/271</v>
      </c>
      <c r="E2046" s="22"/>
      <c r="F2046" s="22"/>
      <c r="G2046" s="22"/>
    </row>
    <row r="2047" spans="1:7" x14ac:dyDescent="0.15">
      <c r="A2047" s="19" t="s">
        <v>6767</v>
      </c>
      <c r="B2047" s="25" t="s">
        <v>7926</v>
      </c>
      <c r="C2047" s="22"/>
      <c r="D2047" s="26" t="str">
        <f t="shared" si="153"/>
        <v>https://kokusho.nijl.ac.jp/biblio/100232367/271</v>
      </c>
      <c r="E2047" s="22"/>
      <c r="F2047" s="22"/>
      <c r="G2047" s="22"/>
    </row>
    <row r="2048" spans="1:7" ht="40.5" x14ac:dyDescent="0.15">
      <c r="A2048" s="19" t="s">
        <v>6767</v>
      </c>
      <c r="B2048" s="25" t="s">
        <v>7927</v>
      </c>
      <c r="C2048" s="22"/>
      <c r="D2048" s="26" t="str">
        <f t="shared" si="153"/>
        <v>https://kokusho.nijl.ac.jp/biblio/100232367/271</v>
      </c>
      <c r="E2048" s="22"/>
      <c r="F2048" s="22"/>
      <c r="G2048" s="22"/>
    </row>
    <row r="2049" spans="1:7" ht="40.5" x14ac:dyDescent="0.15">
      <c r="A2049" s="19" t="s">
        <v>6767</v>
      </c>
      <c r="B2049" s="25" t="s">
        <v>7928</v>
      </c>
      <c r="C2049" s="22"/>
      <c r="D2049" s="26" t="str">
        <f t="shared" si="153"/>
        <v>https://kokusho.nijl.ac.jp/biblio/100232367/271</v>
      </c>
      <c r="E2049" s="22"/>
      <c r="F2049" s="22"/>
      <c r="G2049" s="22"/>
    </row>
    <row r="2050" spans="1:7" x14ac:dyDescent="0.15">
      <c r="A2050" s="19" t="s">
        <v>6767</v>
      </c>
      <c r="B2050" s="25" t="s">
        <v>7929</v>
      </c>
      <c r="C2050" s="22"/>
      <c r="D2050" s="26" t="str">
        <f t="shared" si="153"/>
        <v>https://kokusho.nijl.ac.jp/biblio/100232367/271</v>
      </c>
      <c r="E2050" s="22"/>
      <c r="F2050" s="22"/>
      <c r="G2050" s="22"/>
    </row>
    <row r="2051" spans="1:7" x14ac:dyDescent="0.15">
      <c r="A2051" s="19" t="s">
        <v>6767</v>
      </c>
      <c r="B2051" s="25" t="s">
        <v>7930</v>
      </c>
      <c r="C2051" s="22"/>
      <c r="D2051" s="26" t="str">
        <f t="shared" si="153"/>
        <v>https://kokusho.nijl.ac.jp/biblio/100232367/271</v>
      </c>
      <c r="E2051" s="22"/>
      <c r="F2051" s="22"/>
      <c r="G2051" s="22"/>
    </row>
    <row r="2052" spans="1:7" x14ac:dyDescent="0.15">
      <c r="A2052" s="19" t="s">
        <v>6767</v>
      </c>
      <c r="B2052" s="25" t="s">
        <v>7931</v>
      </c>
      <c r="C2052" s="22"/>
      <c r="D2052" s="26" t="str">
        <f>HYPERLINK("https://kokusho.nijl.ac.jp/biblio/100232367/272")</f>
        <v>https://kokusho.nijl.ac.jp/biblio/100232367/272</v>
      </c>
      <c r="E2052" s="22"/>
      <c r="F2052" s="22"/>
      <c r="G2052" s="22"/>
    </row>
    <row r="2053" spans="1:7" x14ac:dyDescent="0.15">
      <c r="A2053" s="19" t="s">
        <v>6767</v>
      </c>
      <c r="B2053" s="25" t="s">
        <v>7932</v>
      </c>
      <c r="C2053" s="22"/>
      <c r="D2053" s="26" t="str">
        <f>HYPERLINK("https://kokusho.nijl.ac.jp/biblio/100232367/272")</f>
        <v>https://kokusho.nijl.ac.jp/biblio/100232367/272</v>
      </c>
      <c r="E2053" s="22"/>
      <c r="F2053" s="22"/>
      <c r="G2053" s="22"/>
    </row>
    <row r="2054" spans="1:7" x14ac:dyDescent="0.15">
      <c r="A2054" s="19" t="s">
        <v>6767</v>
      </c>
      <c r="B2054" s="25" t="s">
        <v>7933</v>
      </c>
      <c r="C2054" s="22"/>
      <c r="D2054" s="26" t="str">
        <f>HYPERLINK("https://kokusho.nijl.ac.jp/biblio/100232367/272")</f>
        <v>https://kokusho.nijl.ac.jp/biblio/100232367/272</v>
      </c>
      <c r="E2054" s="22"/>
      <c r="F2054" s="22"/>
      <c r="G2054" s="22"/>
    </row>
    <row r="2055" spans="1:7" x14ac:dyDescent="0.15">
      <c r="A2055" s="19" t="s">
        <v>6767</v>
      </c>
      <c r="B2055" s="25" t="s">
        <v>7934</v>
      </c>
      <c r="C2055" s="22"/>
      <c r="D2055" s="26" t="str">
        <f>HYPERLINK("https://kokusho.nijl.ac.jp/biblio/100232367/272")</f>
        <v>https://kokusho.nijl.ac.jp/biblio/100232367/272</v>
      </c>
      <c r="E2055" s="22"/>
      <c r="F2055" s="22"/>
      <c r="G2055" s="22"/>
    </row>
    <row r="2056" spans="1:7" x14ac:dyDescent="0.15">
      <c r="A2056" s="19" t="s">
        <v>6767</v>
      </c>
      <c r="B2056" s="25" t="s">
        <v>7935</v>
      </c>
      <c r="C2056" s="22"/>
      <c r="D2056" s="26" t="str">
        <f>HYPERLINK("https://kokusho.nijl.ac.jp/biblio/100232367/272")</f>
        <v>https://kokusho.nijl.ac.jp/biblio/100232367/272</v>
      </c>
      <c r="E2056" s="22"/>
      <c r="F2056" s="22"/>
      <c r="G2056" s="22"/>
    </row>
    <row r="2057" spans="1:7" x14ac:dyDescent="0.15">
      <c r="A2057" s="19" t="s">
        <v>6767</v>
      </c>
      <c r="B2057" s="25" t="s">
        <v>7936</v>
      </c>
      <c r="C2057" s="22"/>
      <c r="D2057" s="26" t="str">
        <f>HYPERLINK("https://kokusho.nijl.ac.jp/biblio/100232367/273")</f>
        <v>https://kokusho.nijl.ac.jp/biblio/100232367/273</v>
      </c>
      <c r="E2057" s="22"/>
      <c r="F2057" s="22"/>
      <c r="G2057" s="22"/>
    </row>
    <row r="2058" spans="1:7" x14ac:dyDescent="0.15">
      <c r="A2058" s="19" t="s">
        <v>6767</v>
      </c>
      <c r="B2058" s="25" t="s">
        <v>7937</v>
      </c>
      <c r="C2058" s="22"/>
      <c r="D2058" s="26" t="str">
        <f>HYPERLINK("https://kokusho.nijl.ac.jp/biblio/100232367/273")</f>
        <v>https://kokusho.nijl.ac.jp/biblio/100232367/273</v>
      </c>
      <c r="E2058" s="22"/>
      <c r="F2058" s="22"/>
      <c r="G2058" s="22"/>
    </row>
    <row r="2059" spans="1:7" x14ac:dyDescent="0.15">
      <c r="A2059" s="19" t="s">
        <v>6767</v>
      </c>
      <c r="B2059" s="25" t="s">
        <v>7938</v>
      </c>
      <c r="C2059" s="22"/>
      <c r="D2059" s="26" t="str">
        <f>HYPERLINK("https://kokusho.nijl.ac.jp/biblio/100232367/273")</f>
        <v>https://kokusho.nijl.ac.jp/biblio/100232367/273</v>
      </c>
      <c r="E2059" s="22"/>
      <c r="F2059" s="22"/>
      <c r="G2059" s="22"/>
    </row>
    <row r="2060" spans="1:7" x14ac:dyDescent="0.15">
      <c r="A2060" s="19" t="s">
        <v>6767</v>
      </c>
      <c r="B2060" s="25" t="s">
        <v>7939</v>
      </c>
      <c r="C2060" s="22"/>
      <c r="D2060" s="26" t="str">
        <f t="shared" ref="D2060:D2065" si="154">HYPERLINK("https://kokusho.nijl.ac.jp/biblio/100232367/274")</f>
        <v>https://kokusho.nijl.ac.jp/biblio/100232367/274</v>
      </c>
      <c r="E2060" s="22"/>
      <c r="F2060" s="22"/>
      <c r="G2060" s="22"/>
    </row>
    <row r="2061" spans="1:7" x14ac:dyDescent="0.15">
      <c r="A2061" s="19" t="s">
        <v>6767</v>
      </c>
      <c r="B2061" s="25" t="s">
        <v>7940</v>
      </c>
      <c r="C2061" s="22"/>
      <c r="D2061" s="26" t="str">
        <f t="shared" si="154"/>
        <v>https://kokusho.nijl.ac.jp/biblio/100232367/274</v>
      </c>
      <c r="E2061" s="22"/>
      <c r="F2061" s="22"/>
      <c r="G2061" s="22"/>
    </row>
    <row r="2062" spans="1:7" x14ac:dyDescent="0.15">
      <c r="A2062" s="19" t="s">
        <v>6767</v>
      </c>
      <c r="B2062" s="25" t="s">
        <v>7941</v>
      </c>
      <c r="C2062" s="22"/>
      <c r="D2062" s="26" t="str">
        <f t="shared" si="154"/>
        <v>https://kokusho.nijl.ac.jp/biblio/100232367/274</v>
      </c>
      <c r="E2062" s="22"/>
      <c r="F2062" s="22"/>
      <c r="G2062" s="22"/>
    </row>
    <row r="2063" spans="1:7" x14ac:dyDescent="0.15">
      <c r="A2063" s="19" t="s">
        <v>6767</v>
      </c>
      <c r="B2063" s="25" t="s">
        <v>7942</v>
      </c>
      <c r="C2063" s="22"/>
      <c r="D2063" s="26" t="str">
        <f t="shared" si="154"/>
        <v>https://kokusho.nijl.ac.jp/biblio/100232367/274</v>
      </c>
      <c r="E2063" s="22"/>
      <c r="F2063" s="22"/>
      <c r="G2063" s="22"/>
    </row>
    <row r="2064" spans="1:7" x14ac:dyDescent="0.15">
      <c r="A2064" s="19" t="s">
        <v>6767</v>
      </c>
      <c r="B2064" s="25" t="s">
        <v>7943</v>
      </c>
      <c r="C2064" s="22"/>
      <c r="D2064" s="26" t="str">
        <f t="shared" si="154"/>
        <v>https://kokusho.nijl.ac.jp/biblio/100232367/274</v>
      </c>
      <c r="E2064" s="22"/>
      <c r="F2064" s="22"/>
      <c r="G2064" s="22"/>
    </row>
    <row r="2065" spans="1:7" ht="18.75" x14ac:dyDescent="0.15">
      <c r="A2065" s="19" t="s">
        <v>6767</v>
      </c>
      <c r="B2065" s="25" t="s">
        <v>8968</v>
      </c>
      <c r="C2065" s="22"/>
      <c r="D2065" s="26" t="str">
        <f t="shared" si="154"/>
        <v>https://kokusho.nijl.ac.jp/biblio/100232367/274</v>
      </c>
      <c r="E2065" s="22"/>
      <c r="F2065" s="22"/>
      <c r="G2065" s="22"/>
    </row>
    <row r="2066" spans="1:7" x14ac:dyDescent="0.15">
      <c r="A2066" s="19" t="s">
        <v>6767</v>
      </c>
      <c r="B2066" s="25" t="s">
        <v>6175</v>
      </c>
      <c r="C2066" s="22"/>
      <c r="D2066" s="26" t="str">
        <f>HYPERLINK("https://kokusho.nijl.ac.jp/biblio/100232367/275")</f>
        <v>https://kokusho.nijl.ac.jp/biblio/100232367/275</v>
      </c>
      <c r="E2066" s="22"/>
      <c r="F2066" s="22"/>
      <c r="G2066" s="22"/>
    </row>
    <row r="2067" spans="1:7" x14ac:dyDescent="0.15">
      <c r="A2067" s="19" t="s">
        <v>6767</v>
      </c>
      <c r="B2067" s="25" t="s">
        <v>7944</v>
      </c>
      <c r="C2067" s="22"/>
      <c r="D2067" s="26" t="str">
        <f>HYPERLINK("https://kokusho.nijl.ac.jp/biblio/100232367/275")</f>
        <v>https://kokusho.nijl.ac.jp/biblio/100232367/275</v>
      </c>
      <c r="E2067" s="22"/>
      <c r="F2067" s="22"/>
      <c r="G2067" s="22"/>
    </row>
    <row r="2068" spans="1:7" x14ac:dyDescent="0.15">
      <c r="A2068" s="19" t="s">
        <v>6767</v>
      </c>
      <c r="B2068" s="25" t="s">
        <v>7945</v>
      </c>
      <c r="C2068" s="22"/>
      <c r="D2068" s="26" t="str">
        <f>HYPERLINK("https://kokusho.nijl.ac.jp/biblio/100232367/275")</f>
        <v>https://kokusho.nijl.ac.jp/biblio/100232367/275</v>
      </c>
      <c r="E2068" s="22"/>
      <c r="F2068" s="22"/>
      <c r="G2068" s="22"/>
    </row>
    <row r="2069" spans="1:7" x14ac:dyDescent="0.15">
      <c r="A2069" s="19" t="s">
        <v>6767</v>
      </c>
      <c r="B2069" s="25" t="s">
        <v>7946</v>
      </c>
      <c r="C2069" s="22"/>
      <c r="D2069" s="26" t="str">
        <f t="shared" ref="D2069:D2074" si="155">HYPERLINK("https://kokusho.nijl.ac.jp/biblio/100232367/276")</f>
        <v>https://kokusho.nijl.ac.jp/biblio/100232367/276</v>
      </c>
      <c r="E2069" s="22"/>
      <c r="F2069" s="22"/>
      <c r="G2069" s="22"/>
    </row>
    <row r="2070" spans="1:7" x14ac:dyDescent="0.15">
      <c r="A2070" s="19" t="s">
        <v>6767</v>
      </c>
      <c r="B2070" s="25" t="s">
        <v>7947</v>
      </c>
      <c r="C2070" s="22"/>
      <c r="D2070" s="26" t="str">
        <f t="shared" si="155"/>
        <v>https://kokusho.nijl.ac.jp/biblio/100232367/276</v>
      </c>
      <c r="E2070" s="22"/>
      <c r="F2070" s="22"/>
      <c r="G2070" s="22"/>
    </row>
    <row r="2071" spans="1:7" x14ac:dyDescent="0.15">
      <c r="A2071" s="19" t="s">
        <v>6767</v>
      </c>
      <c r="B2071" s="25" t="s">
        <v>7948</v>
      </c>
      <c r="C2071" s="22"/>
      <c r="D2071" s="26" t="str">
        <f t="shared" si="155"/>
        <v>https://kokusho.nijl.ac.jp/biblio/100232367/276</v>
      </c>
      <c r="E2071" s="22"/>
      <c r="F2071" s="22"/>
      <c r="G2071" s="22"/>
    </row>
    <row r="2072" spans="1:7" x14ac:dyDescent="0.15">
      <c r="A2072" s="19" t="s">
        <v>6767</v>
      </c>
      <c r="B2072" s="25" t="s">
        <v>7949</v>
      </c>
      <c r="C2072" s="22"/>
      <c r="D2072" s="26" t="str">
        <f t="shared" si="155"/>
        <v>https://kokusho.nijl.ac.jp/biblio/100232367/276</v>
      </c>
      <c r="E2072" s="22"/>
      <c r="F2072" s="22"/>
      <c r="G2072" s="22"/>
    </row>
    <row r="2073" spans="1:7" x14ac:dyDescent="0.15">
      <c r="A2073" s="19" t="s">
        <v>6767</v>
      </c>
      <c r="B2073" s="25" t="s">
        <v>7950</v>
      </c>
      <c r="C2073" s="22"/>
      <c r="D2073" s="26" t="str">
        <f t="shared" si="155"/>
        <v>https://kokusho.nijl.ac.jp/biblio/100232367/276</v>
      </c>
      <c r="E2073" s="22"/>
      <c r="F2073" s="22"/>
      <c r="G2073" s="22"/>
    </row>
    <row r="2074" spans="1:7" x14ac:dyDescent="0.15">
      <c r="A2074" s="19" t="s">
        <v>6767</v>
      </c>
      <c r="B2074" s="25" t="s">
        <v>7951</v>
      </c>
      <c r="C2074" s="22"/>
      <c r="D2074" s="26" t="str">
        <f t="shared" si="155"/>
        <v>https://kokusho.nijl.ac.jp/biblio/100232367/276</v>
      </c>
      <c r="E2074" s="22"/>
      <c r="F2074" s="22"/>
      <c r="G2074" s="22"/>
    </row>
    <row r="2075" spans="1:7" x14ac:dyDescent="0.15">
      <c r="A2075" s="19" t="s">
        <v>6767</v>
      </c>
      <c r="B2075" s="25" t="s">
        <v>7952</v>
      </c>
      <c r="C2075" s="22"/>
      <c r="D2075" s="26" t="str">
        <f>HYPERLINK("https://kokusho.nijl.ac.jp/biblio/100232367/277")</f>
        <v>https://kokusho.nijl.ac.jp/biblio/100232367/277</v>
      </c>
      <c r="E2075" s="22"/>
      <c r="F2075" s="22"/>
      <c r="G2075" s="22"/>
    </row>
    <row r="2076" spans="1:7" x14ac:dyDescent="0.15">
      <c r="A2076" s="19" t="s">
        <v>6767</v>
      </c>
      <c r="B2076" s="25" t="s">
        <v>7953</v>
      </c>
      <c r="C2076" s="22"/>
      <c r="D2076" s="26" t="str">
        <f>HYPERLINK("https://kokusho.nijl.ac.jp/biblio/100232367/277")</f>
        <v>https://kokusho.nijl.ac.jp/biblio/100232367/277</v>
      </c>
      <c r="E2076" s="22"/>
      <c r="F2076" s="22"/>
      <c r="G2076" s="22"/>
    </row>
    <row r="2077" spans="1:7" x14ac:dyDescent="0.15">
      <c r="A2077" s="19" t="s">
        <v>6767</v>
      </c>
      <c r="B2077" s="25" t="s">
        <v>7954</v>
      </c>
      <c r="C2077" s="22"/>
      <c r="D2077" s="26" t="str">
        <f>HYPERLINK("https://kokusho.nijl.ac.jp/biblio/100232367/277")</f>
        <v>https://kokusho.nijl.ac.jp/biblio/100232367/277</v>
      </c>
      <c r="E2077" s="22"/>
      <c r="F2077" s="22"/>
      <c r="G2077" s="22"/>
    </row>
    <row r="2078" spans="1:7" x14ac:dyDescent="0.15">
      <c r="A2078" s="19" t="s">
        <v>6767</v>
      </c>
      <c r="B2078" s="25" t="s">
        <v>7955</v>
      </c>
      <c r="C2078" s="22"/>
      <c r="D2078" s="26" t="str">
        <f t="shared" ref="D2078:D2084" si="156">HYPERLINK("https://kokusho.nijl.ac.jp/biblio/100232367/278")</f>
        <v>https://kokusho.nijl.ac.jp/biblio/100232367/278</v>
      </c>
      <c r="E2078" s="22"/>
      <c r="F2078" s="22"/>
      <c r="G2078" s="22"/>
    </row>
    <row r="2079" spans="1:7" x14ac:dyDescent="0.15">
      <c r="A2079" s="19" t="s">
        <v>6767</v>
      </c>
      <c r="B2079" s="25" t="s">
        <v>7956</v>
      </c>
      <c r="C2079" s="22"/>
      <c r="D2079" s="26" t="str">
        <f t="shared" si="156"/>
        <v>https://kokusho.nijl.ac.jp/biblio/100232367/278</v>
      </c>
      <c r="E2079" s="22"/>
      <c r="F2079" s="22"/>
      <c r="G2079" s="22"/>
    </row>
    <row r="2080" spans="1:7" x14ac:dyDescent="0.15">
      <c r="A2080" s="19" t="s">
        <v>6767</v>
      </c>
      <c r="B2080" s="25" t="s">
        <v>7957</v>
      </c>
      <c r="C2080" s="22"/>
      <c r="D2080" s="26" t="str">
        <f t="shared" si="156"/>
        <v>https://kokusho.nijl.ac.jp/biblio/100232367/278</v>
      </c>
      <c r="E2080" s="22"/>
      <c r="F2080" s="22"/>
      <c r="G2080" s="22"/>
    </row>
    <row r="2081" spans="1:7" x14ac:dyDescent="0.15">
      <c r="A2081" s="19" t="s">
        <v>6767</v>
      </c>
      <c r="B2081" s="25" t="s">
        <v>7958</v>
      </c>
      <c r="C2081" s="22"/>
      <c r="D2081" s="26" t="str">
        <f t="shared" si="156"/>
        <v>https://kokusho.nijl.ac.jp/biblio/100232367/278</v>
      </c>
      <c r="E2081" s="22"/>
      <c r="F2081" s="22"/>
      <c r="G2081" s="22"/>
    </row>
    <row r="2082" spans="1:7" x14ac:dyDescent="0.15">
      <c r="A2082" s="19" t="s">
        <v>6767</v>
      </c>
      <c r="B2082" s="25" t="s">
        <v>7959</v>
      </c>
      <c r="C2082" s="22"/>
      <c r="D2082" s="26" t="str">
        <f t="shared" si="156"/>
        <v>https://kokusho.nijl.ac.jp/biblio/100232367/278</v>
      </c>
      <c r="E2082" s="22"/>
      <c r="F2082" s="22"/>
      <c r="G2082" s="22"/>
    </row>
    <row r="2083" spans="1:7" x14ac:dyDescent="0.15">
      <c r="A2083" s="19" t="s">
        <v>6767</v>
      </c>
      <c r="B2083" s="25" t="s">
        <v>7960</v>
      </c>
      <c r="C2083" s="22"/>
      <c r="D2083" s="26" t="str">
        <f t="shared" si="156"/>
        <v>https://kokusho.nijl.ac.jp/biblio/100232367/278</v>
      </c>
      <c r="E2083" s="22"/>
      <c r="F2083" s="22"/>
      <c r="G2083" s="22"/>
    </row>
    <row r="2084" spans="1:7" ht="32.25" x14ac:dyDescent="0.15">
      <c r="A2084" s="19" t="s">
        <v>6767</v>
      </c>
      <c r="B2084" s="25" t="s">
        <v>8969</v>
      </c>
      <c r="C2084" s="22"/>
      <c r="D2084" s="26" t="str">
        <f t="shared" si="156"/>
        <v>https://kokusho.nijl.ac.jp/biblio/100232367/278</v>
      </c>
      <c r="E2084" s="22"/>
      <c r="F2084" s="22"/>
      <c r="G2084" s="22"/>
    </row>
    <row r="2085" spans="1:7" ht="40.5" x14ac:dyDescent="0.15">
      <c r="A2085" s="19" t="s">
        <v>6767</v>
      </c>
      <c r="B2085" s="25" t="s">
        <v>7961</v>
      </c>
      <c r="C2085" s="22"/>
      <c r="D2085" s="26" t="str">
        <f>HYPERLINK("https://kokusho.nijl.ac.jp/biblio/100232367/279")</f>
        <v>https://kokusho.nijl.ac.jp/biblio/100232367/279</v>
      </c>
      <c r="E2085" s="22"/>
      <c r="F2085" s="22"/>
      <c r="G2085" s="22"/>
    </row>
    <row r="2086" spans="1:7" x14ac:dyDescent="0.15">
      <c r="A2086" s="19" t="s">
        <v>6767</v>
      </c>
      <c r="B2086" s="25" t="s">
        <v>7962</v>
      </c>
      <c r="C2086" s="22"/>
      <c r="D2086" s="26" t="str">
        <f>HYPERLINK("https://kokusho.nijl.ac.jp/biblio/100232367/279")</f>
        <v>https://kokusho.nijl.ac.jp/biblio/100232367/279</v>
      </c>
      <c r="E2086" s="22"/>
      <c r="F2086" s="22"/>
      <c r="G2086" s="22"/>
    </row>
    <row r="2087" spans="1:7" x14ac:dyDescent="0.15">
      <c r="A2087" s="19" t="s">
        <v>6767</v>
      </c>
      <c r="B2087" s="25" t="s">
        <v>7963</v>
      </c>
      <c r="C2087" s="22"/>
      <c r="D2087" s="26" t="str">
        <f>HYPERLINK("https://kokusho.nijl.ac.jp/biblio/100232367/279")</f>
        <v>https://kokusho.nijl.ac.jp/biblio/100232367/279</v>
      </c>
      <c r="E2087" s="22"/>
      <c r="F2087" s="22"/>
      <c r="G2087" s="22"/>
    </row>
    <row r="2088" spans="1:7" x14ac:dyDescent="0.15">
      <c r="A2088" s="19" t="s">
        <v>6767</v>
      </c>
      <c r="B2088" s="25" t="s">
        <v>7964</v>
      </c>
      <c r="C2088" s="22"/>
      <c r="D2088" s="26" t="str">
        <f>HYPERLINK("https://kokusho.nijl.ac.jp/biblio/100232367/279")</f>
        <v>https://kokusho.nijl.ac.jp/biblio/100232367/279</v>
      </c>
      <c r="E2088" s="22"/>
      <c r="F2088" s="22"/>
      <c r="G2088" s="22"/>
    </row>
    <row r="2089" spans="1:7" x14ac:dyDescent="0.15">
      <c r="A2089" s="19" t="s">
        <v>6767</v>
      </c>
      <c r="B2089" s="25" t="s">
        <v>7965</v>
      </c>
      <c r="C2089" s="22"/>
      <c r="D2089" s="26" t="str">
        <f>HYPERLINK("https://kokusho.nijl.ac.jp/biblio/100232367/279")</f>
        <v>https://kokusho.nijl.ac.jp/biblio/100232367/279</v>
      </c>
      <c r="E2089" s="22"/>
      <c r="F2089" s="22"/>
      <c r="G2089" s="22"/>
    </row>
    <row r="2090" spans="1:7" x14ac:dyDescent="0.15">
      <c r="A2090" s="19" t="s">
        <v>6767</v>
      </c>
      <c r="B2090" s="25" t="s">
        <v>5794</v>
      </c>
      <c r="C2090" s="22"/>
      <c r="D2090" s="26" t="str">
        <f>HYPERLINK("https://kokusho.nijl.ac.jp/biblio/100232367/280")</f>
        <v>https://kokusho.nijl.ac.jp/biblio/100232367/280</v>
      </c>
      <c r="E2090" s="22"/>
      <c r="F2090" s="22"/>
      <c r="G2090" s="22"/>
    </row>
    <row r="2091" spans="1:7" x14ac:dyDescent="0.15">
      <c r="A2091" s="19" t="s">
        <v>6767</v>
      </c>
      <c r="B2091" s="25" t="s">
        <v>7966</v>
      </c>
      <c r="C2091" s="22"/>
      <c r="D2091" s="26" t="str">
        <f>HYPERLINK("https://kokusho.nijl.ac.jp/biblio/100232367/280")</f>
        <v>https://kokusho.nijl.ac.jp/biblio/100232367/280</v>
      </c>
      <c r="E2091" s="22"/>
      <c r="F2091" s="22"/>
      <c r="G2091" s="22"/>
    </row>
    <row r="2092" spans="1:7" x14ac:dyDescent="0.15">
      <c r="A2092" s="19" t="s">
        <v>6767</v>
      </c>
      <c r="B2092" s="25" t="s">
        <v>7967</v>
      </c>
      <c r="C2092" s="22"/>
      <c r="D2092" s="26" t="str">
        <f>HYPERLINK("https://kokusho.nijl.ac.jp/biblio/100232367/280")</f>
        <v>https://kokusho.nijl.ac.jp/biblio/100232367/280</v>
      </c>
      <c r="E2092" s="22"/>
      <c r="F2092" s="22"/>
      <c r="G2092" s="22"/>
    </row>
    <row r="2093" spans="1:7" x14ac:dyDescent="0.15">
      <c r="A2093" s="19" t="s">
        <v>6767</v>
      </c>
      <c r="B2093" s="25" t="s">
        <v>7968</v>
      </c>
      <c r="C2093" s="22"/>
      <c r="D2093" s="26" t="str">
        <f>HYPERLINK("https://kokusho.nijl.ac.jp/biblio/100232367/281")</f>
        <v>https://kokusho.nijl.ac.jp/biblio/100232367/281</v>
      </c>
      <c r="E2093" s="22"/>
      <c r="F2093" s="22"/>
      <c r="G2093" s="22"/>
    </row>
    <row r="2094" spans="1:7" x14ac:dyDescent="0.15">
      <c r="A2094" s="19" t="s">
        <v>6767</v>
      </c>
      <c r="B2094" s="25" t="s">
        <v>7969</v>
      </c>
      <c r="C2094" s="22"/>
      <c r="D2094" s="26" t="str">
        <f>HYPERLINK("https://kokusho.nijl.ac.jp/biblio/100232367/281")</f>
        <v>https://kokusho.nijl.ac.jp/biblio/100232367/281</v>
      </c>
      <c r="E2094" s="22"/>
      <c r="F2094" s="22"/>
      <c r="G2094" s="22"/>
    </row>
    <row r="2095" spans="1:7" x14ac:dyDescent="0.15">
      <c r="A2095" s="19" t="s">
        <v>6767</v>
      </c>
      <c r="B2095" s="25" t="s">
        <v>7970</v>
      </c>
      <c r="C2095" s="22"/>
      <c r="D2095" s="26" t="str">
        <f>HYPERLINK("https://kokusho.nijl.ac.jp/biblio/100232367/281")</f>
        <v>https://kokusho.nijl.ac.jp/biblio/100232367/281</v>
      </c>
      <c r="E2095" s="22"/>
      <c r="F2095" s="22"/>
      <c r="G2095" s="22"/>
    </row>
    <row r="2096" spans="1:7" x14ac:dyDescent="0.15">
      <c r="A2096" s="19" t="s">
        <v>6767</v>
      </c>
      <c r="B2096" s="25" t="s">
        <v>7971</v>
      </c>
      <c r="C2096" s="22"/>
      <c r="D2096" s="26" t="str">
        <f>HYPERLINK("https://kokusho.nijl.ac.jp/biblio/100232367/281")</f>
        <v>https://kokusho.nijl.ac.jp/biblio/100232367/281</v>
      </c>
      <c r="E2096" s="22"/>
      <c r="F2096" s="22"/>
      <c r="G2096" s="22"/>
    </row>
    <row r="2097" spans="1:7" x14ac:dyDescent="0.15">
      <c r="A2097" s="19" t="s">
        <v>6767</v>
      </c>
      <c r="B2097" s="25" t="s">
        <v>7972</v>
      </c>
      <c r="C2097" s="22"/>
      <c r="D2097" s="26" t="str">
        <f>HYPERLINK("https://kokusho.nijl.ac.jp/biblio/100232367/281")</f>
        <v>https://kokusho.nijl.ac.jp/biblio/100232367/281</v>
      </c>
      <c r="E2097" s="22"/>
      <c r="F2097" s="22"/>
      <c r="G2097" s="22"/>
    </row>
    <row r="2098" spans="1:7" x14ac:dyDescent="0.15">
      <c r="A2098" s="19" t="s">
        <v>6767</v>
      </c>
      <c r="B2098" s="25" t="s">
        <v>7973</v>
      </c>
      <c r="C2098" s="22"/>
      <c r="D2098" s="26" t="str">
        <f t="shared" ref="D2098:D2104" si="157">HYPERLINK("https://kokusho.nijl.ac.jp/biblio/100232367/282")</f>
        <v>https://kokusho.nijl.ac.jp/biblio/100232367/282</v>
      </c>
      <c r="E2098" s="22"/>
      <c r="F2098" s="22"/>
      <c r="G2098" s="22"/>
    </row>
    <row r="2099" spans="1:7" x14ac:dyDescent="0.15">
      <c r="A2099" s="19" t="s">
        <v>6767</v>
      </c>
      <c r="B2099" s="25" t="s">
        <v>7974</v>
      </c>
      <c r="C2099" s="22"/>
      <c r="D2099" s="26" t="str">
        <f t="shared" si="157"/>
        <v>https://kokusho.nijl.ac.jp/biblio/100232367/282</v>
      </c>
      <c r="E2099" s="22"/>
      <c r="F2099" s="22"/>
      <c r="G2099" s="22"/>
    </row>
    <row r="2100" spans="1:7" x14ac:dyDescent="0.15">
      <c r="A2100" s="19" t="s">
        <v>6767</v>
      </c>
      <c r="B2100" s="25" t="s">
        <v>7975</v>
      </c>
      <c r="C2100" s="22"/>
      <c r="D2100" s="26" t="str">
        <f t="shared" si="157"/>
        <v>https://kokusho.nijl.ac.jp/biblio/100232367/282</v>
      </c>
      <c r="E2100" s="22"/>
      <c r="F2100" s="22"/>
      <c r="G2100" s="22"/>
    </row>
    <row r="2101" spans="1:7" x14ac:dyDescent="0.15">
      <c r="A2101" s="19" t="s">
        <v>6767</v>
      </c>
      <c r="B2101" s="25" t="s">
        <v>7976</v>
      </c>
      <c r="C2101" s="22"/>
      <c r="D2101" s="26" t="str">
        <f t="shared" si="157"/>
        <v>https://kokusho.nijl.ac.jp/biblio/100232367/282</v>
      </c>
      <c r="E2101" s="22"/>
      <c r="F2101" s="22"/>
      <c r="G2101" s="22"/>
    </row>
    <row r="2102" spans="1:7" x14ac:dyDescent="0.15">
      <c r="A2102" s="19" t="s">
        <v>6767</v>
      </c>
      <c r="B2102" s="25" t="s">
        <v>7977</v>
      </c>
      <c r="C2102" s="22"/>
      <c r="D2102" s="26" t="str">
        <f t="shared" si="157"/>
        <v>https://kokusho.nijl.ac.jp/biblio/100232367/282</v>
      </c>
      <c r="E2102" s="22"/>
      <c r="F2102" s="22"/>
      <c r="G2102" s="22"/>
    </row>
    <row r="2103" spans="1:7" x14ac:dyDescent="0.15">
      <c r="A2103" s="19" t="s">
        <v>6767</v>
      </c>
      <c r="B2103" s="25" t="s">
        <v>7978</v>
      </c>
      <c r="C2103" s="22"/>
      <c r="D2103" s="26" t="str">
        <f t="shared" si="157"/>
        <v>https://kokusho.nijl.ac.jp/biblio/100232367/282</v>
      </c>
      <c r="E2103" s="22"/>
      <c r="F2103" s="22"/>
      <c r="G2103" s="22"/>
    </row>
    <row r="2104" spans="1:7" x14ac:dyDescent="0.15">
      <c r="A2104" s="19" t="s">
        <v>6767</v>
      </c>
      <c r="B2104" s="25" t="s">
        <v>7979</v>
      </c>
      <c r="C2104" s="22"/>
      <c r="D2104" s="26" t="str">
        <f t="shared" si="157"/>
        <v>https://kokusho.nijl.ac.jp/biblio/100232367/282</v>
      </c>
      <c r="E2104" s="22"/>
      <c r="F2104" s="22"/>
      <c r="G2104" s="22"/>
    </row>
    <row r="2105" spans="1:7" x14ac:dyDescent="0.15">
      <c r="A2105" s="19" t="s">
        <v>6767</v>
      </c>
      <c r="B2105" s="25" t="s">
        <v>7980</v>
      </c>
      <c r="C2105" s="22"/>
      <c r="D2105" s="26" t="str">
        <f t="shared" ref="D2105:D2111" si="158">HYPERLINK("https://kokusho.nijl.ac.jp/biblio/100232367/283")</f>
        <v>https://kokusho.nijl.ac.jp/biblio/100232367/283</v>
      </c>
      <c r="E2105" s="22"/>
      <c r="F2105" s="22"/>
      <c r="G2105" s="22"/>
    </row>
    <row r="2106" spans="1:7" x14ac:dyDescent="0.15">
      <c r="A2106" s="19" t="s">
        <v>6767</v>
      </c>
      <c r="B2106" s="25" t="s">
        <v>7981</v>
      </c>
      <c r="C2106" s="22"/>
      <c r="D2106" s="26" t="str">
        <f t="shared" si="158"/>
        <v>https://kokusho.nijl.ac.jp/biblio/100232367/283</v>
      </c>
      <c r="E2106" s="22"/>
      <c r="F2106" s="22"/>
      <c r="G2106" s="22"/>
    </row>
    <row r="2107" spans="1:7" x14ac:dyDescent="0.15">
      <c r="A2107" s="19" t="s">
        <v>6767</v>
      </c>
      <c r="B2107" s="25" t="s">
        <v>7982</v>
      </c>
      <c r="C2107" s="22"/>
      <c r="D2107" s="26" t="str">
        <f t="shared" si="158"/>
        <v>https://kokusho.nijl.ac.jp/biblio/100232367/283</v>
      </c>
      <c r="E2107" s="22"/>
      <c r="F2107" s="22"/>
      <c r="G2107" s="22"/>
    </row>
    <row r="2108" spans="1:7" x14ac:dyDescent="0.15">
      <c r="A2108" s="19" t="s">
        <v>6767</v>
      </c>
      <c r="B2108" s="25" t="s">
        <v>7983</v>
      </c>
      <c r="C2108" s="22"/>
      <c r="D2108" s="26" t="str">
        <f t="shared" si="158"/>
        <v>https://kokusho.nijl.ac.jp/biblio/100232367/283</v>
      </c>
      <c r="E2108" s="22"/>
      <c r="F2108" s="22"/>
      <c r="G2108" s="22"/>
    </row>
    <row r="2109" spans="1:7" x14ac:dyDescent="0.15">
      <c r="A2109" s="19" t="s">
        <v>6767</v>
      </c>
      <c r="B2109" s="25" t="s">
        <v>7984</v>
      </c>
      <c r="C2109" s="22"/>
      <c r="D2109" s="26" t="str">
        <f t="shared" si="158"/>
        <v>https://kokusho.nijl.ac.jp/biblio/100232367/283</v>
      </c>
      <c r="E2109" s="22"/>
      <c r="F2109" s="22"/>
      <c r="G2109" s="22"/>
    </row>
    <row r="2110" spans="1:7" x14ac:dyDescent="0.15">
      <c r="A2110" s="19" t="s">
        <v>6767</v>
      </c>
      <c r="B2110" s="25" t="s">
        <v>7985</v>
      </c>
      <c r="C2110" s="22"/>
      <c r="D2110" s="26" t="str">
        <f t="shared" si="158"/>
        <v>https://kokusho.nijl.ac.jp/biblio/100232367/283</v>
      </c>
      <c r="E2110" s="22"/>
      <c r="F2110" s="22"/>
      <c r="G2110" s="22"/>
    </row>
    <row r="2111" spans="1:7" x14ac:dyDescent="0.15">
      <c r="A2111" s="19" t="s">
        <v>6767</v>
      </c>
      <c r="B2111" s="25" t="s">
        <v>7986</v>
      </c>
      <c r="C2111" s="22"/>
      <c r="D2111" s="26" t="str">
        <f t="shared" si="158"/>
        <v>https://kokusho.nijl.ac.jp/biblio/100232367/283</v>
      </c>
      <c r="E2111" s="22"/>
      <c r="F2111" s="22"/>
      <c r="G2111" s="22"/>
    </row>
    <row r="2112" spans="1:7" x14ac:dyDescent="0.15">
      <c r="A2112" s="19" t="s">
        <v>6767</v>
      </c>
      <c r="B2112" s="25" t="s">
        <v>7987</v>
      </c>
      <c r="C2112" s="22"/>
      <c r="D2112" s="26" t="str">
        <f t="shared" ref="D2112:D2118" si="159">HYPERLINK("https://kokusho.nijl.ac.jp/biblio/100232367/284")</f>
        <v>https://kokusho.nijl.ac.jp/biblio/100232367/284</v>
      </c>
      <c r="E2112" s="22"/>
      <c r="F2112" s="22"/>
      <c r="G2112" s="22"/>
    </row>
    <row r="2113" spans="1:7" x14ac:dyDescent="0.15">
      <c r="A2113" s="19" t="s">
        <v>6767</v>
      </c>
      <c r="B2113" s="25" t="s">
        <v>7988</v>
      </c>
      <c r="C2113" s="22"/>
      <c r="D2113" s="26" t="str">
        <f t="shared" si="159"/>
        <v>https://kokusho.nijl.ac.jp/biblio/100232367/284</v>
      </c>
      <c r="E2113" s="22"/>
      <c r="F2113" s="22"/>
      <c r="G2113" s="22"/>
    </row>
    <row r="2114" spans="1:7" x14ac:dyDescent="0.15">
      <c r="A2114" s="19" t="s">
        <v>6767</v>
      </c>
      <c r="B2114" s="25" t="s">
        <v>7989</v>
      </c>
      <c r="C2114" s="22"/>
      <c r="D2114" s="26" t="str">
        <f t="shared" si="159"/>
        <v>https://kokusho.nijl.ac.jp/biblio/100232367/284</v>
      </c>
      <c r="E2114" s="22"/>
      <c r="F2114" s="22"/>
      <c r="G2114" s="22"/>
    </row>
    <row r="2115" spans="1:7" x14ac:dyDescent="0.15">
      <c r="A2115" s="19" t="s">
        <v>6767</v>
      </c>
      <c r="B2115" s="25" t="s">
        <v>7990</v>
      </c>
      <c r="C2115" s="22"/>
      <c r="D2115" s="26" t="str">
        <f t="shared" si="159"/>
        <v>https://kokusho.nijl.ac.jp/biblio/100232367/284</v>
      </c>
      <c r="E2115" s="22"/>
      <c r="F2115" s="22"/>
      <c r="G2115" s="22"/>
    </row>
    <row r="2116" spans="1:7" x14ac:dyDescent="0.15">
      <c r="A2116" s="19" t="s">
        <v>6767</v>
      </c>
      <c r="B2116" s="25" t="s">
        <v>7991</v>
      </c>
      <c r="C2116" s="22"/>
      <c r="D2116" s="26" t="str">
        <f t="shared" si="159"/>
        <v>https://kokusho.nijl.ac.jp/biblio/100232367/284</v>
      </c>
      <c r="E2116" s="22"/>
      <c r="F2116" s="22"/>
      <c r="G2116" s="22"/>
    </row>
    <row r="2117" spans="1:7" x14ac:dyDescent="0.15">
      <c r="A2117" s="19" t="s">
        <v>6767</v>
      </c>
      <c r="B2117" s="25" t="s">
        <v>7992</v>
      </c>
      <c r="C2117" s="22"/>
      <c r="D2117" s="26" t="str">
        <f t="shared" si="159"/>
        <v>https://kokusho.nijl.ac.jp/biblio/100232367/284</v>
      </c>
      <c r="E2117" s="22"/>
      <c r="F2117" s="22"/>
      <c r="G2117" s="22"/>
    </row>
    <row r="2118" spans="1:7" x14ac:dyDescent="0.15">
      <c r="A2118" s="19" t="s">
        <v>6767</v>
      </c>
      <c r="B2118" s="25" t="s">
        <v>7993</v>
      </c>
      <c r="C2118" s="22"/>
      <c r="D2118" s="26" t="str">
        <f t="shared" si="159"/>
        <v>https://kokusho.nijl.ac.jp/biblio/100232367/284</v>
      </c>
      <c r="E2118" s="22"/>
      <c r="F2118" s="22"/>
      <c r="G2118" s="22"/>
    </row>
    <row r="2119" spans="1:7" x14ac:dyDescent="0.15">
      <c r="A2119" s="19" t="s">
        <v>6767</v>
      </c>
      <c r="B2119" s="25" t="s">
        <v>7994</v>
      </c>
      <c r="C2119" s="22"/>
      <c r="D2119" s="26" t="str">
        <f>HYPERLINK("https://kokusho.nijl.ac.jp/biblio/100232367/285")</f>
        <v>https://kokusho.nijl.ac.jp/biblio/100232367/285</v>
      </c>
      <c r="E2119" s="22"/>
      <c r="F2119" s="22"/>
      <c r="G2119" s="22"/>
    </row>
    <row r="2120" spans="1:7" x14ac:dyDescent="0.15">
      <c r="A2120" s="19" t="s">
        <v>6767</v>
      </c>
      <c r="B2120" s="25" t="s">
        <v>7995</v>
      </c>
      <c r="C2120" s="22"/>
      <c r="D2120" s="26" t="str">
        <f>HYPERLINK("https://kokusho.nijl.ac.jp/biblio/100232367/285")</f>
        <v>https://kokusho.nijl.ac.jp/biblio/100232367/285</v>
      </c>
      <c r="E2120" s="22"/>
      <c r="F2120" s="22"/>
      <c r="G2120" s="22"/>
    </row>
    <row r="2121" spans="1:7" ht="18.75" x14ac:dyDescent="0.15">
      <c r="A2121" s="19" t="s">
        <v>6767</v>
      </c>
      <c r="B2121" s="25" t="s">
        <v>8970</v>
      </c>
      <c r="C2121" s="22"/>
      <c r="D2121" s="26" t="str">
        <f>HYPERLINK("https://kokusho.nijl.ac.jp/biblio/100232367/285")</f>
        <v>https://kokusho.nijl.ac.jp/biblio/100232367/285</v>
      </c>
      <c r="E2121" s="22"/>
      <c r="F2121" s="22"/>
      <c r="G2121" s="22"/>
    </row>
    <row r="2122" spans="1:7" x14ac:dyDescent="0.15">
      <c r="A2122" s="19" t="s">
        <v>6767</v>
      </c>
      <c r="B2122" s="25" t="s">
        <v>7996</v>
      </c>
      <c r="C2122" s="22"/>
      <c r="D2122" s="26" t="str">
        <f>HYPERLINK("https://kokusho.nijl.ac.jp/biblio/100232367/285")</f>
        <v>https://kokusho.nijl.ac.jp/biblio/100232367/285</v>
      </c>
      <c r="E2122" s="22"/>
      <c r="F2122" s="22"/>
      <c r="G2122" s="22"/>
    </row>
    <row r="2123" spans="1:7" x14ac:dyDescent="0.15">
      <c r="A2123" s="19" t="s">
        <v>6767</v>
      </c>
      <c r="B2123" s="25" t="s">
        <v>7997</v>
      </c>
      <c r="C2123" s="22"/>
      <c r="D2123" s="26" t="str">
        <f>HYPERLINK("https://kokusho.nijl.ac.jp/biblio/100232367/285")</f>
        <v>https://kokusho.nijl.ac.jp/biblio/100232367/285</v>
      </c>
      <c r="E2123" s="22"/>
      <c r="F2123" s="22"/>
      <c r="G2123" s="22"/>
    </row>
    <row r="2124" spans="1:7" x14ac:dyDescent="0.15">
      <c r="A2124" s="19" t="s">
        <v>6767</v>
      </c>
      <c r="B2124" s="25" t="s">
        <v>7998</v>
      </c>
      <c r="C2124" s="22"/>
      <c r="D2124" s="26" t="str">
        <f t="shared" ref="D2124:D2130" si="160">HYPERLINK("https://kokusho.nijl.ac.jp/biblio/100232367/286")</f>
        <v>https://kokusho.nijl.ac.jp/biblio/100232367/286</v>
      </c>
      <c r="E2124" s="22"/>
      <c r="F2124" s="22"/>
      <c r="G2124" s="22"/>
    </row>
    <row r="2125" spans="1:7" x14ac:dyDescent="0.15">
      <c r="A2125" s="19" t="s">
        <v>6767</v>
      </c>
      <c r="B2125" s="25" t="s">
        <v>7999</v>
      </c>
      <c r="C2125" s="22"/>
      <c r="D2125" s="26" t="str">
        <f t="shared" si="160"/>
        <v>https://kokusho.nijl.ac.jp/biblio/100232367/286</v>
      </c>
      <c r="E2125" s="22"/>
      <c r="F2125" s="22"/>
      <c r="G2125" s="22"/>
    </row>
    <row r="2126" spans="1:7" x14ac:dyDescent="0.15">
      <c r="A2126" s="19" t="s">
        <v>6767</v>
      </c>
      <c r="B2126" s="25" t="s">
        <v>8000</v>
      </c>
      <c r="C2126" s="22"/>
      <c r="D2126" s="26" t="str">
        <f t="shared" si="160"/>
        <v>https://kokusho.nijl.ac.jp/biblio/100232367/286</v>
      </c>
      <c r="E2126" s="22"/>
      <c r="F2126" s="22"/>
      <c r="G2126" s="22"/>
    </row>
    <row r="2127" spans="1:7" x14ac:dyDescent="0.15">
      <c r="A2127" s="19" t="s">
        <v>6767</v>
      </c>
      <c r="B2127" s="25" t="s">
        <v>8001</v>
      </c>
      <c r="C2127" s="22"/>
      <c r="D2127" s="26" t="str">
        <f t="shared" si="160"/>
        <v>https://kokusho.nijl.ac.jp/biblio/100232367/286</v>
      </c>
      <c r="E2127" s="22"/>
      <c r="F2127" s="22"/>
      <c r="G2127" s="22"/>
    </row>
    <row r="2128" spans="1:7" x14ac:dyDescent="0.15">
      <c r="A2128" s="19" t="s">
        <v>6767</v>
      </c>
      <c r="B2128" s="25" t="s">
        <v>8002</v>
      </c>
      <c r="C2128" s="22"/>
      <c r="D2128" s="26" t="str">
        <f t="shared" si="160"/>
        <v>https://kokusho.nijl.ac.jp/biblio/100232367/286</v>
      </c>
      <c r="E2128" s="22"/>
      <c r="F2128" s="22"/>
      <c r="G2128" s="22"/>
    </row>
    <row r="2129" spans="1:7" x14ac:dyDescent="0.15">
      <c r="A2129" s="19" t="s">
        <v>6767</v>
      </c>
      <c r="B2129" s="25" t="s">
        <v>8003</v>
      </c>
      <c r="C2129" s="22"/>
      <c r="D2129" s="26" t="str">
        <f t="shared" si="160"/>
        <v>https://kokusho.nijl.ac.jp/biblio/100232367/286</v>
      </c>
      <c r="E2129" s="22"/>
      <c r="F2129" s="22"/>
      <c r="G2129" s="22"/>
    </row>
    <row r="2130" spans="1:7" x14ac:dyDescent="0.15">
      <c r="A2130" s="19" t="s">
        <v>6767</v>
      </c>
      <c r="B2130" s="25" t="s">
        <v>8004</v>
      </c>
      <c r="C2130" s="22"/>
      <c r="D2130" s="26" t="str">
        <f t="shared" si="160"/>
        <v>https://kokusho.nijl.ac.jp/biblio/100232367/286</v>
      </c>
      <c r="E2130" s="22"/>
      <c r="F2130" s="22"/>
      <c r="G2130" s="22"/>
    </row>
    <row r="2131" spans="1:7" x14ac:dyDescent="0.15">
      <c r="A2131" s="19" t="s">
        <v>6767</v>
      </c>
      <c r="B2131" s="25" t="s">
        <v>8005</v>
      </c>
      <c r="C2131" s="22"/>
      <c r="D2131" s="26" t="str">
        <f>HYPERLINK("https://kokusho.nijl.ac.jp/biblio/100232367/287")</f>
        <v>https://kokusho.nijl.ac.jp/biblio/100232367/287</v>
      </c>
      <c r="E2131" s="22"/>
      <c r="F2131" s="22"/>
      <c r="G2131" s="22"/>
    </row>
    <row r="2132" spans="1:7" x14ac:dyDescent="0.15">
      <c r="A2132" s="19" t="s">
        <v>6767</v>
      </c>
      <c r="B2132" s="25" t="s">
        <v>8006</v>
      </c>
      <c r="C2132" s="22"/>
      <c r="D2132" s="26" t="str">
        <f>HYPERLINK("https://kokusho.nijl.ac.jp/biblio/100232367/287")</f>
        <v>https://kokusho.nijl.ac.jp/biblio/100232367/287</v>
      </c>
      <c r="E2132" s="22"/>
      <c r="F2132" s="22"/>
      <c r="G2132" s="22"/>
    </row>
    <row r="2133" spans="1:7" x14ac:dyDescent="0.15">
      <c r="A2133" s="19" t="s">
        <v>6767</v>
      </c>
      <c r="B2133" s="25" t="s">
        <v>8007</v>
      </c>
      <c r="C2133" s="22"/>
      <c r="D2133" s="26" t="str">
        <f>HYPERLINK("https://kokusho.nijl.ac.jp/biblio/100232367/287")</f>
        <v>https://kokusho.nijl.ac.jp/biblio/100232367/287</v>
      </c>
      <c r="E2133" s="22"/>
      <c r="F2133" s="22"/>
      <c r="G2133" s="22"/>
    </row>
    <row r="2134" spans="1:7" x14ac:dyDescent="0.15">
      <c r="A2134" s="19" t="s">
        <v>6767</v>
      </c>
      <c r="B2134" s="25" t="s">
        <v>8008</v>
      </c>
      <c r="C2134" s="22"/>
      <c r="D2134" s="26" t="str">
        <f>HYPERLINK("https://kokusho.nijl.ac.jp/biblio/100232367/287")</f>
        <v>https://kokusho.nijl.ac.jp/biblio/100232367/287</v>
      </c>
      <c r="E2134" s="22"/>
      <c r="F2134" s="22"/>
      <c r="G2134" s="22"/>
    </row>
    <row r="2135" spans="1:7" x14ac:dyDescent="0.15">
      <c r="A2135" s="19" t="s">
        <v>6767</v>
      </c>
      <c r="B2135" s="25" t="s">
        <v>8009</v>
      </c>
      <c r="C2135" s="22"/>
      <c r="D2135" s="26" t="str">
        <f>HYPERLINK("https://kokusho.nijl.ac.jp/biblio/100232367/287")</f>
        <v>https://kokusho.nijl.ac.jp/biblio/100232367/287</v>
      </c>
      <c r="E2135" s="22"/>
      <c r="F2135" s="22"/>
      <c r="G2135" s="22"/>
    </row>
    <row r="2136" spans="1:7" x14ac:dyDescent="0.15">
      <c r="A2136" s="19" t="s">
        <v>6767</v>
      </c>
      <c r="B2136" s="25" t="s">
        <v>8010</v>
      </c>
      <c r="C2136" s="22"/>
      <c r="D2136" s="26" t="str">
        <f>HYPERLINK("https://kokusho.nijl.ac.jp/biblio/100232367/288")</f>
        <v>https://kokusho.nijl.ac.jp/biblio/100232367/288</v>
      </c>
      <c r="E2136" s="22"/>
      <c r="F2136" s="22"/>
      <c r="G2136" s="22"/>
    </row>
    <row r="2137" spans="1:7" x14ac:dyDescent="0.15">
      <c r="A2137" s="19" t="s">
        <v>6767</v>
      </c>
      <c r="B2137" s="25" t="s">
        <v>8011</v>
      </c>
      <c r="C2137" s="22"/>
      <c r="D2137" s="26" t="str">
        <f>HYPERLINK("https://kokusho.nijl.ac.jp/biblio/100232367/288")</f>
        <v>https://kokusho.nijl.ac.jp/biblio/100232367/288</v>
      </c>
      <c r="E2137" s="22"/>
      <c r="F2137" s="22"/>
      <c r="G2137" s="22"/>
    </row>
    <row r="2138" spans="1:7" x14ac:dyDescent="0.15">
      <c r="A2138" s="19" t="s">
        <v>6767</v>
      </c>
      <c r="B2138" s="25" t="s">
        <v>8012</v>
      </c>
      <c r="C2138" s="22"/>
      <c r="D2138" s="26" t="str">
        <f>HYPERLINK("https://kokusho.nijl.ac.jp/biblio/100232367/288")</f>
        <v>https://kokusho.nijl.ac.jp/biblio/100232367/288</v>
      </c>
      <c r="E2138" s="22"/>
      <c r="F2138" s="22"/>
      <c r="G2138" s="22"/>
    </row>
    <row r="2139" spans="1:7" x14ac:dyDescent="0.15">
      <c r="A2139" s="19" t="s">
        <v>6767</v>
      </c>
      <c r="B2139" s="25" t="s">
        <v>8013</v>
      </c>
      <c r="C2139" s="22"/>
      <c r="D2139" s="26" t="str">
        <f>HYPERLINK("https://kokusho.nijl.ac.jp/biblio/100232367/288")</f>
        <v>https://kokusho.nijl.ac.jp/biblio/100232367/288</v>
      </c>
      <c r="E2139" s="22"/>
      <c r="F2139" s="22"/>
      <c r="G2139" s="22"/>
    </row>
    <row r="2140" spans="1:7" x14ac:dyDescent="0.15">
      <c r="A2140" s="19" t="s">
        <v>6767</v>
      </c>
      <c r="B2140" s="25" t="s">
        <v>8014</v>
      </c>
      <c r="C2140" s="22"/>
      <c r="D2140" s="26" t="str">
        <f>HYPERLINK("https://kokusho.nijl.ac.jp/biblio/100232367/289")</f>
        <v>https://kokusho.nijl.ac.jp/biblio/100232367/289</v>
      </c>
      <c r="E2140" s="22"/>
      <c r="F2140" s="22"/>
      <c r="G2140" s="22"/>
    </row>
    <row r="2141" spans="1:7" x14ac:dyDescent="0.15">
      <c r="A2141" s="19" t="s">
        <v>6767</v>
      </c>
      <c r="B2141" s="25" t="s">
        <v>8015</v>
      </c>
      <c r="C2141" s="22"/>
      <c r="D2141" s="26" t="str">
        <f>HYPERLINK("https://kokusho.nijl.ac.jp/biblio/100232367/289")</f>
        <v>https://kokusho.nijl.ac.jp/biblio/100232367/289</v>
      </c>
      <c r="E2141" s="22"/>
      <c r="F2141" s="22"/>
      <c r="G2141" s="22"/>
    </row>
    <row r="2142" spans="1:7" x14ac:dyDescent="0.15">
      <c r="A2142" s="19" t="s">
        <v>6767</v>
      </c>
      <c r="B2142" s="25" t="s">
        <v>8016</v>
      </c>
      <c r="C2142" s="22"/>
      <c r="D2142" s="26" t="str">
        <f>HYPERLINK("https://kokusho.nijl.ac.jp/biblio/100232367/289")</f>
        <v>https://kokusho.nijl.ac.jp/biblio/100232367/289</v>
      </c>
      <c r="E2142" s="22"/>
      <c r="F2142" s="22"/>
      <c r="G2142" s="22"/>
    </row>
    <row r="2143" spans="1:7" x14ac:dyDescent="0.15">
      <c r="A2143" s="19" t="s">
        <v>6767</v>
      </c>
      <c r="B2143" s="25" t="s">
        <v>8017</v>
      </c>
      <c r="C2143" s="22"/>
      <c r="D2143" s="26" t="str">
        <f>HYPERLINK("https://kokusho.nijl.ac.jp/biblio/100232367/289")</f>
        <v>https://kokusho.nijl.ac.jp/biblio/100232367/289</v>
      </c>
      <c r="E2143" s="22"/>
      <c r="F2143" s="22"/>
      <c r="G2143" s="22"/>
    </row>
    <row r="2144" spans="1:7" x14ac:dyDescent="0.15">
      <c r="A2144" s="19" t="s">
        <v>6767</v>
      </c>
      <c r="B2144" s="25" t="s">
        <v>8018</v>
      </c>
      <c r="C2144" s="22"/>
      <c r="D2144" s="26" t="str">
        <f>HYPERLINK("https://kokusho.nijl.ac.jp/biblio/100232367/290")</f>
        <v>https://kokusho.nijl.ac.jp/biblio/100232367/290</v>
      </c>
      <c r="E2144" s="22"/>
      <c r="F2144" s="22"/>
      <c r="G2144" s="22"/>
    </row>
    <row r="2145" spans="1:7" x14ac:dyDescent="0.15">
      <c r="A2145" s="19" t="s">
        <v>6767</v>
      </c>
      <c r="B2145" s="25" t="s">
        <v>5818</v>
      </c>
      <c r="C2145" s="22"/>
      <c r="D2145" s="26" t="str">
        <f>HYPERLINK("https://kokusho.nijl.ac.jp/biblio/100232367/290")</f>
        <v>https://kokusho.nijl.ac.jp/biblio/100232367/290</v>
      </c>
      <c r="E2145" s="22"/>
      <c r="F2145" s="22"/>
      <c r="G2145" s="22"/>
    </row>
    <row r="2146" spans="1:7" x14ac:dyDescent="0.15">
      <c r="A2146" s="19" t="s">
        <v>6767</v>
      </c>
      <c r="B2146" s="25" t="s">
        <v>8019</v>
      </c>
      <c r="C2146" s="22"/>
      <c r="D2146" s="26" t="str">
        <f>HYPERLINK("https://kokusho.nijl.ac.jp/biblio/100232367/290")</f>
        <v>https://kokusho.nijl.ac.jp/biblio/100232367/290</v>
      </c>
      <c r="E2146" s="22"/>
      <c r="F2146" s="22"/>
      <c r="G2146" s="22"/>
    </row>
    <row r="2147" spans="1:7" x14ac:dyDescent="0.15">
      <c r="A2147" s="19" t="s">
        <v>6767</v>
      </c>
      <c r="B2147" s="25" t="s">
        <v>8020</v>
      </c>
      <c r="C2147" s="22"/>
      <c r="D2147" s="26" t="str">
        <f>HYPERLINK("https://kokusho.nijl.ac.jp/biblio/100232367/290")</f>
        <v>https://kokusho.nijl.ac.jp/biblio/100232367/290</v>
      </c>
      <c r="E2147" s="22"/>
      <c r="F2147" s="22"/>
      <c r="G2147" s="22"/>
    </row>
    <row r="2148" spans="1:7" x14ac:dyDescent="0.15">
      <c r="A2148" s="19" t="s">
        <v>6767</v>
      </c>
      <c r="B2148" s="25" t="s">
        <v>8021</v>
      </c>
      <c r="C2148" s="22"/>
      <c r="D2148" s="26" t="str">
        <f>HYPERLINK("https://kokusho.nijl.ac.jp/biblio/100232367/290")</f>
        <v>https://kokusho.nijl.ac.jp/biblio/100232367/290</v>
      </c>
      <c r="E2148" s="22"/>
      <c r="F2148" s="22"/>
      <c r="G2148" s="22"/>
    </row>
    <row r="2149" spans="1:7" x14ac:dyDescent="0.15">
      <c r="A2149" s="19" t="s">
        <v>6767</v>
      </c>
      <c r="B2149" s="25" t="s">
        <v>8022</v>
      </c>
      <c r="C2149" s="22"/>
      <c r="D2149" s="26" t="str">
        <f t="shared" ref="D2149:D2156" si="161">HYPERLINK("https://kokusho.nijl.ac.jp/biblio/100232367/291")</f>
        <v>https://kokusho.nijl.ac.jp/biblio/100232367/291</v>
      </c>
      <c r="E2149" s="22"/>
      <c r="F2149" s="22"/>
      <c r="G2149" s="22"/>
    </row>
    <row r="2150" spans="1:7" x14ac:dyDescent="0.15">
      <c r="A2150" s="19" t="s">
        <v>6767</v>
      </c>
      <c r="B2150" s="25" t="s">
        <v>8023</v>
      </c>
      <c r="C2150" s="22"/>
      <c r="D2150" s="26" t="str">
        <f t="shared" si="161"/>
        <v>https://kokusho.nijl.ac.jp/biblio/100232367/291</v>
      </c>
      <c r="E2150" s="22"/>
      <c r="F2150" s="22"/>
      <c r="G2150" s="22"/>
    </row>
    <row r="2151" spans="1:7" x14ac:dyDescent="0.15">
      <c r="A2151" s="19" t="s">
        <v>6767</v>
      </c>
      <c r="B2151" s="25" t="s">
        <v>8024</v>
      </c>
      <c r="C2151" s="22"/>
      <c r="D2151" s="26" t="str">
        <f t="shared" si="161"/>
        <v>https://kokusho.nijl.ac.jp/biblio/100232367/291</v>
      </c>
      <c r="E2151" s="22"/>
      <c r="F2151" s="22"/>
      <c r="G2151" s="22"/>
    </row>
    <row r="2152" spans="1:7" x14ac:dyDescent="0.15">
      <c r="A2152" s="19" t="s">
        <v>6767</v>
      </c>
      <c r="B2152" s="25" t="s">
        <v>8025</v>
      </c>
      <c r="C2152" s="22"/>
      <c r="D2152" s="26" t="str">
        <f t="shared" si="161"/>
        <v>https://kokusho.nijl.ac.jp/biblio/100232367/291</v>
      </c>
      <c r="E2152" s="22"/>
      <c r="F2152" s="22"/>
      <c r="G2152" s="22"/>
    </row>
    <row r="2153" spans="1:7" x14ac:dyDescent="0.15">
      <c r="A2153" s="19" t="s">
        <v>6767</v>
      </c>
      <c r="B2153" s="25" t="s">
        <v>8026</v>
      </c>
      <c r="C2153" s="22"/>
      <c r="D2153" s="26" t="str">
        <f t="shared" si="161"/>
        <v>https://kokusho.nijl.ac.jp/biblio/100232367/291</v>
      </c>
      <c r="E2153" s="22"/>
      <c r="F2153" s="22"/>
      <c r="G2153" s="22"/>
    </row>
    <row r="2154" spans="1:7" x14ac:dyDescent="0.15">
      <c r="A2154" s="19" t="s">
        <v>6767</v>
      </c>
      <c r="B2154" s="25" t="s">
        <v>8027</v>
      </c>
      <c r="C2154" s="22"/>
      <c r="D2154" s="26" t="str">
        <f t="shared" si="161"/>
        <v>https://kokusho.nijl.ac.jp/biblio/100232367/291</v>
      </c>
      <c r="E2154" s="22"/>
      <c r="F2154" s="22"/>
      <c r="G2154" s="22"/>
    </row>
    <row r="2155" spans="1:7" x14ac:dyDescent="0.15">
      <c r="A2155" s="19" t="s">
        <v>6767</v>
      </c>
      <c r="B2155" s="25" t="s">
        <v>8028</v>
      </c>
      <c r="C2155" s="22"/>
      <c r="D2155" s="26" t="str">
        <f t="shared" si="161"/>
        <v>https://kokusho.nijl.ac.jp/biblio/100232367/291</v>
      </c>
      <c r="E2155" s="22"/>
      <c r="F2155" s="22"/>
      <c r="G2155" s="22"/>
    </row>
    <row r="2156" spans="1:7" x14ac:dyDescent="0.15">
      <c r="A2156" s="19" t="s">
        <v>6767</v>
      </c>
      <c r="B2156" s="25" t="s">
        <v>8029</v>
      </c>
      <c r="C2156" s="22"/>
      <c r="D2156" s="26" t="str">
        <f t="shared" si="161"/>
        <v>https://kokusho.nijl.ac.jp/biblio/100232367/291</v>
      </c>
      <c r="E2156" s="22"/>
      <c r="F2156" s="22"/>
      <c r="G2156" s="22"/>
    </row>
    <row r="2157" spans="1:7" x14ac:dyDescent="0.15">
      <c r="A2157" s="19" t="s">
        <v>6767</v>
      </c>
      <c r="B2157" s="25" t="s">
        <v>8030</v>
      </c>
      <c r="C2157" s="22"/>
      <c r="D2157" s="26" t="str">
        <f t="shared" ref="D2157:D2163" si="162">HYPERLINK("https://kokusho.nijl.ac.jp/biblio/100232367/292")</f>
        <v>https://kokusho.nijl.ac.jp/biblio/100232367/292</v>
      </c>
      <c r="E2157" s="22"/>
      <c r="F2157" s="22"/>
      <c r="G2157" s="22"/>
    </row>
    <row r="2158" spans="1:7" x14ac:dyDescent="0.15">
      <c r="A2158" s="19" t="s">
        <v>6767</v>
      </c>
      <c r="B2158" s="25" t="s">
        <v>8031</v>
      </c>
      <c r="C2158" s="22"/>
      <c r="D2158" s="26" t="str">
        <f t="shared" si="162"/>
        <v>https://kokusho.nijl.ac.jp/biblio/100232367/292</v>
      </c>
      <c r="E2158" s="22"/>
      <c r="F2158" s="22"/>
      <c r="G2158" s="22"/>
    </row>
    <row r="2159" spans="1:7" x14ac:dyDescent="0.15">
      <c r="A2159" s="19" t="s">
        <v>6767</v>
      </c>
      <c r="B2159" s="25" t="s">
        <v>8032</v>
      </c>
      <c r="C2159" s="22"/>
      <c r="D2159" s="26" t="str">
        <f t="shared" si="162"/>
        <v>https://kokusho.nijl.ac.jp/biblio/100232367/292</v>
      </c>
      <c r="E2159" s="22"/>
      <c r="F2159" s="22"/>
      <c r="G2159" s="22"/>
    </row>
    <row r="2160" spans="1:7" x14ac:dyDescent="0.15">
      <c r="A2160" s="19" t="s">
        <v>6767</v>
      </c>
      <c r="B2160" s="25" t="s">
        <v>8033</v>
      </c>
      <c r="C2160" s="22"/>
      <c r="D2160" s="26" t="str">
        <f t="shared" si="162"/>
        <v>https://kokusho.nijl.ac.jp/biblio/100232367/292</v>
      </c>
      <c r="E2160" s="22"/>
      <c r="F2160" s="22"/>
      <c r="G2160" s="22"/>
    </row>
    <row r="2161" spans="1:7" x14ac:dyDescent="0.15">
      <c r="A2161" s="19" t="s">
        <v>6767</v>
      </c>
      <c r="B2161" s="25" t="s">
        <v>8034</v>
      </c>
      <c r="C2161" s="22"/>
      <c r="D2161" s="26" t="str">
        <f t="shared" si="162"/>
        <v>https://kokusho.nijl.ac.jp/biblio/100232367/292</v>
      </c>
      <c r="E2161" s="22"/>
      <c r="F2161" s="22"/>
      <c r="G2161" s="22"/>
    </row>
    <row r="2162" spans="1:7" x14ac:dyDescent="0.15">
      <c r="A2162" s="19" t="s">
        <v>6767</v>
      </c>
      <c r="B2162" s="25" t="s">
        <v>8035</v>
      </c>
      <c r="C2162" s="22"/>
      <c r="D2162" s="26" t="str">
        <f t="shared" si="162"/>
        <v>https://kokusho.nijl.ac.jp/biblio/100232367/292</v>
      </c>
      <c r="E2162" s="22"/>
      <c r="F2162" s="22"/>
      <c r="G2162" s="22"/>
    </row>
    <row r="2163" spans="1:7" x14ac:dyDescent="0.15">
      <c r="A2163" s="19" t="s">
        <v>6767</v>
      </c>
      <c r="B2163" s="25" t="s">
        <v>5786</v>
      </c>
      <c r="C2163" s="22"/>
      <c r="D2163" s="26" t="str">
        <f t="shared" si="162"/>
        <v>https://kokusho.nijl.ac.jp/biblio/100232367/292</v>
      </c>
      <c r="E2163" s="22"/>
      <c r="F2163" s="22"/>
      <c r="G2163" s="22"/>
    </row>
    <row r="2164" spans="1:7" x14ac:dyDescent="0.15">
      <c r="A2164" s="19" t="s">
        <v>6767</v>
      </c>
      <c r="B2164" s="25" t="s">
        <v>8036</v>
      </c>
      <c r="C2164" s="22"/>
      <c r="D2164" s="26" t="str">
        <f t="shared" ref="D2164:D2170" si="163">HYPERLINK("https://kokusho.nijl.ac.jp/biblio/100232367/293")</f>
        <v>https://kokusho.nijl.ac.jp/biblio/100232367/293</v>
      </c>
      <c r="E2164" s="22"/>
      <c r="F2164" s="22"/>
      <c r="G2164" s="22"/>
    </row>
    <row r="2165" spans="1:7" x14ac:dyDescent="0.15">
      <c r="A2165" s="19" t="s">
        <v>6767</v>
      </c>
      <c r="B2165" s="25" t="s">
        <v>8037</v>
      </c>
      <c r="C2165" s="22"/>
      <c r="D2165" s="26" t="str">
        <f t="shared" si="163"/>
        <v>https://kokusho.nijl.ac.jp/biblio/100232367/293</v>
      </c>
      <c r="E2165" s="22"/>
      <c r="F2165" s="22"/>
      <c r="G2165" s="22"/>
    </row>
    <row r="2166" spans="1:7" x14ac:dyDescent="0.15">
      <c r="A2166" s="19" t="s">
        <v>6767</v>
      </c>
      <c r="B2166" s="25" t="s">
        <v>8038</v>
      </c>
      <c r="C2166" s="22"/>
      <c r="D2166" s="26" t="str">
        <f t="shared" si="163"/>
        <v>https://kokusho.nijl.ac.jp/biblio/100232367/293</v>
      </c>
      <c r="E2166" s="22"/>
      <c r="F2166" s="22"/>
      <c r="G2166" s="22"/>
    </row>
    <row r="2167" spans="1:7" x14ac:dyDescent="0.15">
      <c r="A2167" s="19" t="s">
        <v>6767</v>
      </c>
      <c r="B2167" s="25" t="s">
        <v>8039</v>
      </c>
      <c r="C2167" s="22"/>
      <c r="D2167" s="26" t="str">
        <f t="shared" si="163"/>
        <v>https://kokusho.nijl.ac.jp/biblio/100232367/293</v>
      </c>
      <c r="E2167" s="22"/>
      <c r="F2167" s="22"/>
      <c r="G2167" s="22"/>
    </row>
    <row r="2168" spans="1:7" x14ac:dyDescent="0.15">
      <c r="A2168" s="19" t="s">
        <v>6767</v>
      </c>
      <c r="B2168" s="25" t="s">
        <v>8037</v>
      </c>
      <c r="C2168" s="22"/>
      <c r="D2168" s="26" t="str">
        <f t="shared" si="163"/>
        <v>https://kokusho.nijl.ac.jp/biblio/100232367/293</v>
      </c>
      <c r="E2168" s="22"/>
      <c r="F2168" s="22"/>
      <c r="G2168" s="22"/>
    </row>
    <row r="2169" spans="1:7" x14ac:dyDescent="0.15">
      <c r="A2169" s="19" t="s">
        <v>6767</v>
      </c>
      <c r="B2169" s="25" t="s">
        <v>8040</v>
      </c>
      <c r="C2169" s="22"/>
      <c r="D2169" s="26" t="str">
        <f t="shared" si="163"/>
        <v>https://kokusho.nijl.ac.jp/biblio/100232367/293</v>
      </c>
      <c r="E2169" s="22"/>
      <c r="F2169" s="22"/>
      <c r="G2169" s="22"/>
    </row>
    <row r="2170" spans="1:7" x14ac:dyDescent="0.15">
      <c r="A2170" s="19" t="s">
        <v>6767</v>
      </c>
      <c r="B2170" s="25" t="s">
        <v>8041</v>
      </c>
      <c r="C2170" s="22"/>
      <c r="D2170" s="26" t="str">
        <f t="shared" si="163"/>
        <v>https://kokusho.nijl.ac.jp/biblio/100232367/293</v>
      </c>
      <c r="E2170" s="22"/>
      <c r="F2170" s="22"/>
      <c r="G2170" s="22"/>
    </row>
    <row r="2171" spans="1:7" x14ac:dyDescent="0.15">
      <c r="A2171" s="19" t="s">
        <v>6767</v>
      </c>
      <c r="B2171" s="25" t="s">
        <v>8042</v>
      </c>
      <c r="C2171" s="22"/>
      <c r="D2171" s="26" t="str">
        <f t="shared" ref="D2171:D2176" si="164">HYPERLINK("https://kokusho.nijl.ac.jp/biblio/100232367/294")</f>
        <v>https://kokusho.nijl.ac.jp/biblio/100232367/294</v>
      </c>
      <c r="E2171" s="22"/>
      <c r="F2171" s="22"/>
      <c r="G2171" s="22"/>
    </row>
    <row r="2172" spans="1:7" x14ac:dyDescent="0.15">
      <c r="A2172" s="19" t="s">
        <v>6767</v>
      </c>
      <c r="B2172" s="25" t="s">
        <v>8043</v>
      </c>
      <c r="C2172" s="22"/>
      <c r="D2172" s="26" t="str">
        <f t="shared" si="164"/>
        <v>https://kokusho.nijl.ac.jp/biblio/100232367/294</v>
      </c>
      <c r="E2172" s="22"/>
      <c r="F2172" s="22"/>
      <c r="G2172" s="22"/>
    </row>
    <row r="2173" spans="1:7" x14ac:dyDescent="0.15">
      <c r="A2173" s="19" t="s">
        <v>6767</v>
      </c>
      <c r="B2173" s="25" t="s">
        <v>8044</v>
      </c>
      <c r="C2173" s="22"/>
      <c r="D2173" s="26" t="str">
        <f t="shared" si="164"/>
        <v>https://kokusho.nijl.ac.jp/biblio/100232367/294</v>
      </c>
      <c r="E2173" s="22"/>
      <c r="F2173" s="22"/>
      <c r="G2173" s="22"/>
    </row>
    <row r="2174" spans="1:7" x14ac:dyDescent="0.15">
      <c r="A2174" s="19" t="s">
        <v>6767</v>
      </c>
      <c r="B2174" s="25" t="s">
        <v>8045</v>
      </c>
      <c r="C2174" s="22"/>
      <c r="D2174" s="26" t="str">
        <f t="shared" si="164"/>
        <v>https://kokusho.nijl.ac.jp/biblio/100232367/294</v>
      </c>
      <c r="E2174" s="22"/>
      <c r="F2174" s="22"/>
      <c r="G2174" s="22"/>
    </row>
    <row r="2175" spans="1:7" x14ac:dyDescent="0.15">
      <c r="A2175" s="19" t="s">
        <v>6767</v>
      </c>
      <c r="B2175" s="25" t="s">
        <v>8046</v>
      </c>
      <c r="C2175" s="22"/>
      <c r="D2175" s="26" t="str">
        <f t="shared" si="164"/>
        <v>https://kokusho.nijl.ac.jp/biblio/100232367/294</v>
      </c>
      <c r="E2175" s="22"/>
      <c r="F2175" s="22"/>
      <c r="G2175" s="22"/>
    </row>
    <row r="2176" spans="1:7" x14ac:dyDescent="0.15">
      <c r="A2176" s="19" t="s">
        <v>6767</v>
      </c>
      <c r="B2176" s="25" t="s">
        <v>8047</v>
      </c>
      <c r="C2176" s="22"/>
      <c r="D2176" s="26" t="str">
        <f t="shared" si="164"/>
        <v>https://kokusho.nijl.ac.jp/biblio/100232367/294</v>
      </c>
      <c r="E2176" s="22"/>
      <c r="F2176" s="22"/>
      <c r="G2176" s="22"/>
    </row>
    <row r="2177" spans="1:7" x14ac:dyDescent="0.15">
      <c r="A2177" s="19" t="s">
        <v>6767</v>
      </c>
      <c r="B2177" s="25" t="s">
        <v>8048</v>
      </c>
      <c r="C2177" s="22"/>
      <c r="D2177" s="26" t="str">
        <f t="shared" ref="D2177:D2184" si="165">HYPERLINK("https://kokusho.nijl.ac.jp/biblio/100232367/295")</f>
        <v>https://kokusho.nijl.ac.jp/biblio/100232367/295</v>
      </c>
      <c r="E2177" s="22"/>
      <c r="F2177" s="22"/>
      <c r="G2177" s="22"/>
    </row>
    <row r="2178" spans="1:7" x14ac:dyDescent="0.15">
      <c r="A2178" s="19" t="s">
        <v>6767</v>
      </c>
      <c r="B2178" s="25" t="s">
        <v>8049</v>
      </c>
      <c r="C2178" s="22"/>
      <c r="D2178" s="26" t="str">
        <f t="shared" si="165"/>
        <v>https://kokusho.nijl.ac.jp/biblio/100232367/295</v>
      </c>
      <c r="E2178" s="22"/>
      <c r="F2178" s="22"/>
      <c r="G2178" s="22"/>
    </row>
    <row r="2179" spans="1:7" x14ac:dyDescent="0.15">
      <c r="A2179" s="19" t="s">
        <v>6767</v>
      </c>
      <c r="B2179" s="25" t="s">
        <v>8050</v>
      </c>
      <c r="C2179" s="22"/>
      <c r="D2179" s="26" t="str">
        <f t="shared" si="165"/>
        <v>https://kokusho.nijl.ac.jp/biblio/100232367/295</v>
      </c>
      <c r="E2179" s="22"/>
      <c r="F2179" s="22"/>
      <c r="G2179" s="22"/>
    </row>
    <row r="2180" spans="1:7" ht="27" x14ac:dyDescent="0.15">
      <c r="A2180" s="19" t="s">
        <v>6767</v>
      </c>
      <c r="B2180" s="25" t="s">
        <v>8051</v>
      </c>
      <c r="C2180" s="22"/>
      <c r="D2180" s="26" t="str">
        <f t="shared" si="165"/>
        <v>https://kokusho.nijl.ac.jp/biblio/100232367/295</v>
      </c>
      <c r="E2180" s="22"/>
      <c r="F2180" s="22"/>
      <c r="G2180" s="22"/>
    </row>
    <row r="2181" spans="1:7" x14ac:dyDescent="0.15">
      <c r="A2181" s="19" t="s">
        <v>6767</v>
      </c>
      <c r="B2181" s="25" t="s">
        <v>8052</v>
      </c>
      <c r="C2181" s="22"/>
      <c r="D2181" s="26" t="str">
        <f t="shared" si="165"/>
        <v>https://kokusho.nijl.ac.jp/biblio/100232367/295</v>
      </c>
      <c r="E2181" s="22"/>
      <c r="F2181" s="22"/>
      <c r="G2181" s="22"/>
    </row>
    <row r="2182" spans="1:7" x14ac:dyDescent="0.15">
      <c r="A2182" s="19" t="s">
        <v>6767</v>
      </c>
      <c r="B2182" s="25" t="s">
        <v>5814</v>
      </c>
      <c r="C2182" s="22"/>
      <c r="D2182" s="26" t="str">
        <f t="shared" si="165"/>
        <v>https://kokusho.nijl.ac.jp/biblio/100232367/295</v>
      </c>
      <c r="E2182" s="22"/>
      <c r="F2182" s="22"/>
      <c r="G2182" s="22"/>
    </row>
    <row r="2183" spans="1:7" x14ac:dyDescent="0.15">
      <c r="A2183" s="19" t="s">
        <v>6767</v>
      </c>
      <c r="B2183" s="25" t="s">
        <v>8053</v>
      </c>
      <c r="C2183" s="22"/>
      <c r="D2183" s="26" t="str">
        <f t="shared" si="165"/>
        <v>https://kokusho.nijl.ac.jp/biblio/100232367/295</v>
      </c>
      <c r="E2183" s="22"/>
      <c r="F2183" s="22"/>
      <c r="G2183" s="22"/>
    </row>
    <row r="2184" spans="1:7" x14ac:dyDescent="0.15">
      <c r="A2184" s="19" t="s">
        <v>6767</v>
      </c>
      <c r="B2184" s="25" t="s">
        <v>8054</v>
      </c>
      <c r="C2184" s="22"/>
      <c r="D2184" s="26" t="str">
        <f t="shared" si="165"/>
        <v>https://kokusho.nijl.ac.jp/biblio/100232367/295</v>
      </c>
      <c r="E2184" s="22"/>
      <c r="F2184" s="22"/>
      <c r="G2184" s="22"/>
    </row>
    <row r="2185" spans="1:7" x14ac:dyDescent="0.15">
      <c r="A2185" s="19" t="s">
        <v>6767</v>
      </c>
      <c r="B2185" s="25" t="s">
        <v>8055</v>
      </c>
      <c r="C2185" s="22"/>
      <c r="D2185" s="26" t="str">
        <f t="shared" ref="D2185:D2192" si="166">HYPERLINK("https://kokusho.nijl.ac.jp/biblio/100232367/296")</f>
        <v>https://kokusho.nijl.ac.jp/biblio/100232367/296</v>
      </c>
      <c r="E2185" s="22"/>
      <c r="F2185" s="22"/>
      <c r="G2185" s="22"/>
    </row>
    <row r="2186" spans="1:7" x14ac:dyDescent="0.15">
      <c r="A2186" s="19" t="s">
        <v>6767</v>
      </c>
      <c r="B2186" s="25" t="s">
        <v>8056</v>
      </c>
      <c r="C2186" s="22"/>
      <c r="D2186" s="26" t="str">
        <f t="shared" si="166"/>
        <v>https://kokusho.nijl.ac.jp/biblio/100232367/296</v>
      </c>
      <c r="E2186" s="22"/>
      <c r="F2186" s="22"/>
      <c r="G2186" s="22"/>
    </row>
    <row r="2187" spans="1:7" x14ac:dyDescent="0.15">
      <c r="A2187" s="19" t="s">
        <v>6767</v>
      </c>
      <c r="B2187" s="25" t="s">
        <v>8057</v>
      </c>
      <c r="C2187" s="22"/>
      <c r="D2187" s="26" t="str">
        <f t="shared" si="166"/>
        <v>https://kokusho.nijl.ac.jp/biblio/100232367/296</v>
      </c>
      <c r="E2187" s="22"/>
      <c r="F2187" s="22"/>
      <c r="G2187" s="22"/>
    </row>
    <row r="2188" spans="1:7" x14ac:dyDescent="0.15">
      <c r="A2188" s="19" t="s">
        <v>6767</v>
      </c>
      <c r="B2188" s="25" t="s">
        <v>8058</v>
      </c>
      <c r="C2188" s="22"/>
      <c r="D2188" s="26" t="str">
        <f t="shared" si="166"/>
        <v>https://kokusho.nijl.ac.jp/biblio/100232367/296</v>
      </c>
      <c r="E2188" s="22"/>
      <c r="F2188" s="22"/>
      <c r="G2188" s="22"/>
    </row>
    <row r="2189" spans="1:7" x14ac:dyDescent="0.15">
      <c r="A2189" s="19" t="s">
        <v>6767</v>
      </c>
      <c r="B2189" s="25" t="s">
        <v>8059</v>
      </c>
      <c r="C2189" s="22"/>
      <c r="D2189" s="26" t="str">
        <f t="shared" si="166"/>
        <v>https://kokusho.nijl.ac.jp/biblio/100232367/296</v>
      </c>
      <c r="E2189" s="22"/>
      <c r="F2189" s="22"/>
      <c r="G2189" s="22"/>
    </row>
    <row r="2190" spans="1:7" x14ac:dyDescent="0.15">
      <c r="A2190" s="19" t="s">
        <v>6767</v>
      </c>
      <c r="B2190" s="25" t="s">
        <v>8060</v>
      </c>
      <c r="C2190" s="22"/>
      <c r="D2190" s="26" t="str">
        <f t="shared" si="166"/>
        <v>https://kokusho.nijl.ac.jp/biblio/100232367/296</v>
      </c>
      <c r="E2190" s="22"/>
      <c r="F2190" s="22"/>
      <c r="G2190" s="22"/>
    </row>
    <row r="2191" spans="1:7" x14ac:dyDescent="0.15">
      <c r="A2191" s="19" t="s">
        <v>6767</v>
      </c>
      <c r="B2191" s="25" t="s">
        <v>8061</v>
      </c>
      <c r="C2191" s="22"/>
      <c r="D2191" s="26" t="str">
        <f t="shared" si="166"/>
        <v>https://kokusho.nijl.ac.jp/biblio/100232367/296</v>
      </c>
      <c r="E2191" s="22"/>
      <c r="F2191" s="22"/>
      <c r="G2191" s="22"/>
    </row>
    <row r="2192" spans="1:7" x14ac:dyDescent="0.15">
      <c r="A2192" s="19" t="s">
        <v>6767</v>
      </c>
      <c r="B2192" s="25" t="s">
        <v>8062</v>
      </c>
      <c r="C2192" s="22"/>
      <c r="D2192" s="26" t="str">
        <f t="shared" si="166"/>
        <v>https://kokusho.nijl.ac.jp/biblio/100232367/296</v>
      </c>
      <c r="E2192" s="22"/>
      <c r="F2192" s="22"/>
      <c r="G2192" s="22"/>
    </row>
    <row r="2193" spans="1:7" x14ac:dyDescent="0.15">
      <c r="A2193" s="19" t="s">
        <v>6767</v>
      </c>
      <c r="B2193" s="25" t="s">
        <v>8063</v>
      </c>
      <c r="C2193" s="22"/>
      <c r="D2193" s="26" t="str">
        <f t="shared" ref="D2193:D2198" si="167">HYPERLINK("https://kokusho.nijl.ac.jp/biblio/100232367/297")</f>
        <v>https://kokusho.nijl.ac.jp/biblio/100232367/297</v>
      </c>
      <c r="E2193" s="22"/>
      <c r="F2193" s="22"/>
      <c r="G2193" s="22"/>
    </row>
    <row r="2194" spans="1:7" x14ac:dyDescent="0.15">
      <c r="A2194" s="19" t="s">
        <v>6767</v>
      </c>
      <c r="B2194" s="25" t="s">
        <v>8064</v>
      </c>
      <c r="C2194" s="22"/>
      <c r="D2194" s="26" t="str">
        <f t="shared" si="167"/>
        <v>https://kokusho.nijl.ac.jp/biblio/100232367/297</v>
      </c>
      <c r="E2194" s="22"/>
      <c r="F2194" s="22"/>
      <c r="G2194" s="22"/>
    </row>
    <row r="2195" spans="1:7" x14ac:dyDescent="0.15">
      <c r="A2195" s="19" t="s">
        <v>6767</v>
      </c>
      <c r="B2195" s="25" t="s">
        <v>8065</v>
      </c>
      <c r="C2195" s="22"/>
      <c r="D2195" s="26" t="str">
        <f t="shared" si="167"/>
        <v>https://kokusho.nijl.ac.jp/biblio/100232367/297</v>
      </c>
      <c r="E2195" s="22"/>
      <c r="F2195" s="22"/>
      <c r="G2195" s="22"/>
    </row>
    <row r="2196" spans="1:7" x14ac:dyDescent="0.15">
      <c r="A2196" s="19" t="s">
        <v>6767</v>
      </c>
      <c r="B2196" s="25" t="s">
        <v>8066</v>
      </c>
      <c r="C2196" s="22"/>
      <c r="D2196" s="26" t="str">
        <f t="shared" si="167"/>
        <v>https://kokusho.nijl.ac.jp/biblio/100232367/297</v>
      </c>
      <c r="E2196" s="22"/>
      <c r="F2196" s="22"/>
      <c r="G2196" s="22"/>
    </row>
    <row r="2197" spans="1:7" x14ac:dyDescent="0.15">
      <c r="A2197" s="19" t="s">
        <v>6767</v>
      </c>
      <c r="B2197" s="25" t="s">
        <v>8067</v>
      </c>
      <c r="C2197" s="22"/>
      <c r="D2197" s="26" t="str">
        <f t="shared" si="167"/>
        <v>https://kokusho.nijl.ac.jp/biblio/100232367/297</v>
      </c>
      <c r="E2197" s="22"/>
      <c r="F2197" s="22"/>
      <c r="G2197" s="22"/>
    </row>
    <row r="2198" spans="1:7" x14ac:dyDescent="0.15">
      <c r="A2198" s="19" t="s">
        <v>6767</v>
      </c>
      <c r="B2198" s="25" t="s">
        <v>8068</v>
      </c>
      <c r="C2198" s="22"/>
      <c r="D2198" s="26" t="str">
        <f t="shared" si="167"/>
        <v>https://kokusho.nijl.ac.jp/biblio/100232367/297</v>
      </c>
      <c r="E2198" s="22"/>
      <c r="F2198" s="22"/>
      <c r="G2198" s="22"/>
    </row>
    <row r="2199" spans="1:7" x14ac:dyDescent="0.15">
      <c r="A2199" s="19" t="s">
        <v>6767</v>
      </c>
      <c r="B2199" s="25" t="s">
        <v>8069</v>
      </c>
      <c r="C2199" s="22"/>
      <c r="D2199" s="26" t="str">
        <f t="shared" ref="D2199:D2205" si="168">HYPERLINK("https://kokusho.nijl.ac.jp/biblio/100232367/298")</f>
        <v>https://kokusho.nijl.ac.jp/biblio/100232367/298</v>
      </c>
      <c r="E2199" s="22"/>
      <c r="F2199" s="22"/>
      <c r="G2199" s="22"/>
    </row>
    <row r="2200" spans="1:7" x14ac:dyDescent="0.15">
      <c r="A2200" s="19" t="s">
        <v>6767</v>
      </c>
      <c r="B2200" s="25" t="s">
        <v>8070</v>
      </c>
      <c r="C2200" s="22"/>
      <c r="D2200" s="26" t="str">
        <f t="shared" si="168"/>
        <v>https://kokusho.nijl.ac.jp/biblio/100232367/298</v>
      </c>
      <c r="E2200" s="22"/>
      <c r="F2200" s="22"/>
      <c r="G2200" s="22"/>
    </row>
    <row r="2201" spans="1:7" x14ac:dyDescent="0.15">
      <c r="A2201" s="19" t="s">
        <v>6767</v>
      </c>
      <c r="B2201" s="25" t="s">
        <v>8071</v>
      </c>
      <c r="C2201" s="22"/>
      <c r="D2201" s="26" t="str">
        <f t="shared" si="168"/>
        <v>https://kokusho.nijl.ac.jp/biblio/100232367/298</v>
      </c>
      <c r="E2201" s="22"/>
      <c r="F2201" s="22"/>
      <c r="G2201" s="22"/>
    </row>
    <row r="2202" spans="1:7" x14ac:dyDescent="0.15">
      <c r="A2202" s="19" t="s">
        <v>6767</v>
      </c>
      <c r="B2202" s="25" t="s">
        <v>8072</v>
      </c>
      <c r="C2202" s="22"/>
      <c r="D2202" s="26" t="str">
        <f t="shared" si="168"/>
        <v>https://kokusho.nijl.ac.jp/biblio/100232367/298</v>
      </c>
      <c r="E2202" s="22"/>
      <c r="F2202" s="22"/>
      <c r="G2202" s="22"/>
    </row>
    <row r="2203" spans="1:7" x14ac:dyDescent="0.15">
      <c r="A2203" s="19" t="s">
        <v>6767</v>
      </c>
      <c r="B2203" s="25" t="s">
        <v>8073</v>
      </c>
      <c r="C2203" s="22"/>
      <c r="D2203" s="26" t="str">
        <f t="shared" si="168"/>
        <v>https://kokusho.nijl.ac.jp/biblio/100232367/298</v>
      </c>
      <c r="E2203" s="22"/>
      <c r="F2203" s="22"/>
      <c r="G2203" s="22"/>
    </row>
    <row r="2204" spans="1:7" x14ac:dyDescent="0.15">
      <c r="A2204" s="19" t="s">
        <v>6767</v>
      </c>
      <c r="B2204" s="25" t="s">
        <v>8074</v>
      </c>
      <c r="C2204" s="22"/>
      <c r="D2204" s="26" t="str">
        <f t="shared" si="168"/>
        <v>https://kokusho.nijl.ac.jp/biblio/100232367/298</v>
      </c>
      <c r="E2204" s="22"/>
      <c r="F2204" s="22"/>
      <c r="G2204" s="22"/>
    </row>
    <row r="2205" spans="1:7" x14ac:dyDescent="0.15">
      <c r="A2205" s="19" t="s">
        <v>6767</v>
      </c>
      <c r="B2205" s="25" t="s">
        <v>8075</v>
      </c>
      <c r="C2205" s="22"/>
      <c r="D2205" s="26" t="str">
        <f t="shared" si="168"/>
        <v>https://kokusho.nijl.ac.jp/biblio/100232367/298</v>
      </c>
      <c r="E2205" s="22"/>
      <c r="F2205" s="22"/>
      <c r="G2205" s="22"/>
    </row>
    <row r="2206" spans="1:7" x14ac:dyDescent="0.15">
      <c r="A2206" s="19" t="s">
        <v>6767</v>
      </c>
      <c r="B2206" s="25" t="s">
        <v>8076</v>
      </c>
      <c r="C2206" s="22"/>
      <c r="D2206" s="26" t="str">
        <f t="shared" ref="D2206:D2214" si="169">HYPERLINK("https://kokusho.nijl.ac.jp/biblio/100232367/299")</f>
        <v>https://kokusho.nijl.ac.jp/biblio/100232367/299</v>
      </c>
      <c r="E2206" s="22"/>
      <c r="F2206" s="22"/>
      <c r="G2206" s="22"/>
    </row>
    <row r="2207" spans="1:7" x14ac:dyDescent="0.15">
      <c r="A2207" s="19" t="s">
        <v>6767</v>
      </c>
      <c r="B2207" s="25" t="s">
        <v>8077</v>
      </c>
      <c r="C2207" s="22"/>
      <c r="D2207" s="26" t="str">
        <f t="shared" si="169"/>
        <v>https://kokusho.nijl.ac.jp/biblio/100232367/299</v>
      </c>
      <c r="E2207" s="22"/>
      <c r="F2207" s="22"/>
      <c r="G2207" s="22"/>
    </row>
    <row r="2208" spans="1:7" x14ac:dyDescent="0.15">
      <c r="A2208" s="19" t="s">
        <v>6767</v>
      </c>
      <c r="B2208" s="25" t="s">
        <v>8078</v>
      </c>
      <c r="C2208" s="22"/>
      <c r="D2208" s="26" t="str">
        <f t="shared" si="169"/>
        <v>https://kokusho.nijl.ac.jp/biblio/100232367/299</v>
      </c>
      <c r="E2208" s="22"/>
      <c r="F2208" s="22"/>
      <c r="G2208" s="22"/>
    </row>
    <row r="2209" spans="1:7" x14ac:dyDescent="0.15">
      <c r="A2209" s="19" t="s">
        <v>6767</v>
      </c>
      <c r="B2209" s="25" t="s">
        <v>8079</v>
      </c>
      <c r="C2209" s="22"/>
      <c r="D2209" s="26" t="str">
        <f t="shared" si="169"/>
        <v>https://kokusho.nijl.ac.jp/biblio/100232367/299</v>
      </c>
      <c r="E2209" s="22"/>
      <c r="F2209" s="22"/>
      <c r="G2209" s="22"/>
    </row>
    <row r="2210" spans="1:7" x14ac:dyDescent="0.15">
      <c r="A2210" s="19" t="s">
        <v>6767</v>
      </c>
      <c r="B2210" s="25" t="s">
        <v>8080</v>
      </c>
      <c r="C2210" s="22"/>
      <c r="D2210" s="26" t="str">
        <f t="shared" si="169"/>
        <v>https://kokusho.nijl.ac.jp/biblio/100232367/299</v>
      </c>
      <c r="E2210" s="22"/>
      <c r="F2210" s="22"/>
      <c r="G2210" s="22"/>
    </row>
    <row r="2211" spans="1:7" x14ac:dyDescent="0.15">
      <c r="A2211" s="19" t="s">
        <v>6767</v>
      </c>
      <c r="B2211" s="25" t="s">
        <v>8081</v>
      </c>
      <c r="C2211" s="22"/>
      <c r="D2211" s="26" t="str">
        <f t="shared" si="169"/>
        <v>https://kokusho.nijl.ac.jp/biblio/100232367/299</v>
      </c>
      <c r="E2211" s="22"/>
      <c r="F2211" s="22"/>
      <c r="G2211" s="22"/>
    </row>
    <row r="2212" spans="1:7" x14ac:dyDescent="0.15">
      <c r="A2212" s="19" t="s">
        <v>6767</v>
      </c>
      <c r="B2212" s="25" t="s">
        <v>8082</v>
      </c>
      <c r="C2212" s="22"/>
      <c r="D2212" s="26" t="str">
        <f t="shared" si="169"/>
        <v>https://kokusho.nijl.ac.jp/biblio/100232367/299</v>
      </c>
      <c r="E2212" s="22"/>
      <c r="F2212" s="22"/>
      <c r="G2212" s="22"/>
    </row>
    <row r="2213" spans="1:7" ht="54" x14ac:dyDescent="0.15">
      <c r="A2213" s="19" t="s">
        <v>6767</v>
      </c>
      <c r="B2213" s="25" t="s">
        <v>8083</v>
      </c>
      <c r="C2213" s="22"/>
      <c r="D2213" s="26" t="str">
        <f t="shared" si="169"/>
        <v>https://kokusho.nijl.ac.jp/biblio/100232367/299</v>
      </c>
      <c r="E2213" s="22"/>
      <c r="F2213" s="22"/>
      <c r="G2213" s="22"/>
    </row>
    <row r="2214" spans="1:7" ht="54" x14ac:dyDescent="0.15">
      <c r="A2214" s="19" t="s">
        <v>6767</v>
      </c>
      <c r="B2214" s="25" t="s">
        <v>8084</v>
      </c>
      <c r="C2214" s="22"/>
      <c r="D2214" s="26" t="str">
        <f t="shared" si="169"/>
        <v>https://kokusho.nijl.ac.jp/biblio/100232367/299</v>
      </c>
      <c r="E2214" s="22"/>
      <c r="F2214" s="22"/>
      <c r="G2214" s="22"/>
    </row>
    <row r="2215" spans="1:7" x14ac:dyDescent="0.15">
      <c r="A2215" s="19" t="s">
        <v>6767</v>
      </c>
      <c r="B2215" s="25" t="s">
        <v>8085</v>
      </c>
      <c r="C2215" s="22"/>
      <c r="D2215" s="26" t="str">
        <f t="shared" ref="D2215:D2220" si="170">HYPERLINK("https://kokusho.nijl.ac.jp/biblio/100232367/300")</f>
        <v>https://kokusho.nijl.ac.jp/biblio/100232367/300</v>
      </c>
      <c r="E2215" s="22"/>
      <c r="F2215" s="22"/>
      <c r="G2215" s="22"/>
    </row>
    <row r="2216" spans="1:7" x14ac:dyDescent="0.15">
      <c r="A2216" s="19" t="s">
        <v>6767</v>
      </c>
      <c r="B2216" s="25" t="s">
        <v>8086</v>
      </c>
      <c r="C2216" s="22"/>
      <c r="D2216" s="26" t="str">
        <f t="shared" si="170"/>
        <v>https://kokusho.nijl.ac.jp/biblio/100232367/300</v>
      </c>
      <c r="E2216" s="22"/>
      <c r="F2216" s="22"/>
      <c r="G2216" s="22"/>
    </row>
    <row r="2217" spans="1:7" x14ac:dyDescent="0.15">
      <c r="A2217" s="19" t="s">
        <v>6767</v>
      </c>
      <c r="B2217" s="25" t="s">
        <v>6571</v>
      </c>
      <c r="C2217" s="22"/>
      <c r="D2217" s="26" t="str">
        <f t="shared" si="170"/>
        <v>https://kokusho.nijl.ac.jp/biblio/100232367/300</v>
      </c>
      <c r="E2217" s="22"/>
      <c r="F2217" s="22"/>
      <c r="G2217" s="22"/>
    </row>
    <row r="2218" spans="1:7" x14ac:dyDescent="0.15">
      <c r="A2218" s="19" t="s">
        <v>6767</v>
      </c>
      <c r="B2218" s="25" t="s">
        <v>8087</v>
      </c>
      <c r="C2218" s="22"/>
      <c r="D2218" s="26" t="str">
        <f t="shared" si="170"/>
        <v>https://kokusho.nijl.ac.jp/biblio/100232367/300</v>
      </c>
      <c r="E2218" s="22"/>
      <c r="F2218" s="22"/>
      <c r="G2218" s="22"/>
    </row>
    <row r="2219" spans="1:7" ht="27" x14ac:dyDescent="0.15">
      <c r="A2219" s="19" t="s">
        <v>6767</v>
      </c>
      <c r="B2219" s="25" t="s">
        <v>8088</v>
      </c>
      <c r="C2219" s="22"/>
      <c r="D2219" s="26" t="str">
        <f t="shared" si="170"/>
        <v>https://kokusho.nijl.ac.jp/biblio/100232367/300</v>
      </c>
      <c r="E2219" s="22"/>
      <c r="F2219" s="22"/>
      <c r="G2219" s="22"/>
    </row>
    <row r="2220" spans="1:7" x14ac:dyDescent="0.15">
      <c r="A2220" s="19" t="s">
        <v>6767</v>
      </c>
      <c r="B2220" s="25" t="s">
        <v>8089</v>
      </c>
      <c r="C2220" s="22"/>
      <c r="D2220" s="26" t="str">
        <f t="shared" si="170"/>
        <v>https://kokusho.nijl.ac.jp/biblio/100232367/300</v>
      </c>
      <c r="E2220" s="22"/>
      <c r="F2220" s="22"/>
      <c r="G2220" s="22"/>
    </row>
    <row r="2221" spans="1:7" x14ac:dyDescent="0.15">
      <c r="A2221" s="19" t="s">
        <v>6767</v>
      </c>
      <c r="B2221" s="25" t="s">
        <v>8090</v>
      </c>
      <c r="C2221" s="22"/>
      <c r="D2221" s="26" t="str">
        <f t="shared" ref="D2221:D2228" si="171">HYPERLINK("https://kokusho.nijl.ac.jp/biblio/100232367/301")</f>
        <v>https://kokusho.nijl.ac.jp/biblio/100232367/301</v>
      </c>
      <c r="E2221" s="22"/>
      <c r="F2221" s="22"/>
      <c r="G2221" s="22"/>
    </row>
    <row r="2222" spans="1:7" x14ac:dyDescent="0.15">
      <c r="A2222" s="19" t="s">
        <v>6767</v>
      </c>
      <c r="B2222" s="25" t="s">
        <v>8091</v>
      </c>
      <c r="C2222" s="22"/>
      <c r="D2222" s="26" t="str">
        <f t="shared" si="171"/>
        <v>https://kokusho.nijl.ac.jp/biblio/100232367/301</v>
      </c>
      <c r="E2222" s="22"/>
      <c r="F2222" s="22"/>
      <c r="G2222" s="22"/>
    </row>
    <row r="2223" spans="1:7" x14ac:dyDescent="0.15">
      <c r="A2223" s="19" t="s">
        <v>6767</v>
      </c>
      <c r="B2223" s="25" t="s">
        <v>8092</v>
      </c>
      <c r="C2223" s="22"/>
      <c r="D2223" s="26" t="str">
        <f t="shared" si="171"/>
        <v>https://kokusho.nijl.ac.jp/biblio/100232367/301</v>
      </c>
      <c r="E2223" s="22"/>
      <c r="F2223" s="22"/>
      <c r="G2223" s="22"/>
    </row>
    <row r="2224" spans="1:7" ht="27" x14ac:dyDescent="0.15">
      <c r="A2224" s="19" t="s">
        <v>6767</v>
      </c>
      <c r="B2224" s="25" t="s">
        <v>8093</v>
      </c>
      <c r="C2224" s="22"/>
      <c r="D2224" s="26" t="str">
        <f t="shared" si="171"/>
        <v>https://kokusho.nijl.ac.jp/biblio/100232367/301</v>
      </c>
      <c r="E2224" s="22"/>
      <c r="F2224" s="22"/>
      <c r="G2224" s="22"/>
    </row>
    <row r="2225" spans="1:7" x14ac:dyDescent="0.15">
      <c r="A2225" s="19" t="s">
        <v>6767</v>
      </c>
      <c r="B2225" s="25" t="s">
        <v>8094</v>
      </c>
      <c r="C2225" s="22"/>
      <c r="D2225" s="26" t="str">
        <f t="shared" si="171"/>
        <v>https://kokusho.nijl.ac.jp/biblio/100232367/301</v>
      </c>
      <c r="E2225" s="22"/>
      <c r="F2225" s="22"/>
      <c r="G2225" s="22"/>
    </row>
    <row r="2226" spans="1:7" x14ac:dyDescent="0.15">
      <c r="A2226" s="19" t="s">
        <v>6767</v>
      </c>
      <c r="B2226" s="25" t="s">
        <v>8095</v>
      </c>
      <c r="C2226" s="22"/>
      <c r="D2226" s="26" t="str">
        <f t="shared" si="171"/>
        <v>https://kokusho.nijl.ac.jp/biblio/100232367/301</v>
      </c>
      <c r="E2226" s="22"/>
      <c r="F2226" s="22"/>
      <c r="G2226" s="22"/>
    </row>
    <row r="2227" spans="1:7" x14ac:dyDescent="0.15">
      <c r="A2227" s="19" t="s">
        <v>6767</v>
      </c>
      <c r="B2227" s="25" t="s">
        <v>8096</v>
      </c>
      <c r="C2227" s="22"/>
      <c r="D2227" s="26" t="str">
        <f t="shared" si="171"/>
        <v>https://kokusho.nijl.ac.jp/biblio/100232367/301</v>
      </c>
      <c r="E2227" s="22"/>
      <c r="F2227" s="22"/>
      <c r="G2227" s="22"/>
    </row>
    <row r="2228" spans="1:7" x14ac:dyDescent="0.15">
      <c r="A2228" s="19" t="s">
        <v>6767</v>
      </c>
      <c r="B2228" s="25" t="s">
        <v>8097</v>
      </c>
      <c r="C2228" s="22"/>
      <c r="D2228" s="26" t="str">
        <f t="shared" si="171"/>
        <v>https://kokusho.nijl.ac.jp/biblio/100232367/301</v>
      </c>
      <c r="E2228" s="22"/>
      <c r="F2228" s="22"/>
      <c r="G2228" s="22"/>
    </row>
    <row r="2229" spans="1:7" x14ac:dyDescent="0.15">
      <c r="A2229" s="19" t="s">
        <v>6767</v>
      </c>
      <c r="B2229" s="25" t="s">
        <v>8098</v>
      </c>
      <c r="C2229" s="22"/>
      <c r="D2229" s="26" t="str">
        <f t="shared" ref="D2229:D2237" si="172">HYPERLINK("https://kokusho.nijl.ac.jp/biblio/100232367/302")</f>
        <v>https://kokusho.nijl.ac.jp/biblio/100232367/302</v>
      </c>
      <c r="E2229" s="22"/>
      <c r="F2229" s="22"/>
      <c r="G2229" s="22"/>
    </row>
    <row r="2230" spans="1:7" x14ac:dyDescent="0.15">
      <c r="A2230" s="19" t="s">
        <v>6767</v>
      </c>
      <c r="B2230" s="25" t="s">
        <v>8099</v>
      </c>
      <c r="C2230" s="22"/>
      <c r="D2230" s="26" t="str">
        <f t="shared" si="172"/>
        <v>https://kokusho.nijl.ac.jp/biblio/100232367/302</v>
      </c>
      <c r="E2230" s="22"/>
      <c r="F2230" s="22"/>
      <c r="G2230" s="22"/>
    </row>
    <row r="2231" spans="1:7" x14ac:dyDescent="0.15">
      <c r="A2231" s="19" t="s">
        <v>6767</v>
      </c>
      <c r="B2231" s="25" t="s">
        <v>8100</v>
      </c>
      <c r="C2231" s="22"/>
      <c r="D2231" s="26" t="str">
        <f t="shared" si="172"/>
        <v>https://kokusho.nijl.ac.jp/biblio/100232367/302</v>
      </c>
      <c r="E2231" s="22"/>
      <c r="F2231" s="22"/>
      <c r="G2231" s="22"/>
    </row>
    <row r="2232" spans="1:7" x14ac:dyDescent="0.15">
      <c r="A2232" s="19" t="s">
        <v>6767</v>
      </c>
      <c r="B2232" s="25" t="s">
        <v>8101</v>
      </c>
      <c r="C2232" s="22"/>
      <c r="D2232" s="26" t="str">
        <f t="shared" si="172"/>
        <v>https://kokusho.nijl.ac.jp/biblio/100232367/302</v>
      </c>
      <c r="E2232" s="22"/>
      <c r="F2232" s="22"/>
      <c r="G2232" s="22"/>
    </row>
    <row r="2233" spans="1:7" x14ac:dyDescent="0.15">
      <c r="A2233" s="19" t="s">
        <v>6767</v>
      </c>
      <c r="B2233" s="25" t="s">
        <v>8102</v>
      </c>
      <c r="C2233" s="22"/>
      <c r="D2233" s="26" t="str">
        <f t="shared" si="172"/>
        <v>https://kokusho.nijl.ac.jp/biblio/100232367/302</v>
      </c>
      <c r="E2233" s="22"/>
      <c r="F2233" s="22"/>
      <c r="G2233" s="22"/>
    </row>
    <row r="2234" spans="1:7" x14ac:dyDescent="0.15">
      <c r="A2234" s="19" t="s">
        <v>6767</v>
      </c>
      <c r="B2234" s="25" t="s">
        <v>8103</v>
      </c>
      <c r="C2234" s="22"/>
      <c r="D2234" s="26" t="str">
        <f t="shared" si="172"/>
        <v>https://kokusho.nijl.ac.jp/biblio/100232367/302</v>
      </c>
      <c r="E2234" s="22"/>
      <c r="F2234" s="22"/>
      <c r="G2234" s="22"/>
    </row>
    <row r="2235" spans="1:7" x14ac:dyDescent="0.15">
      <c r="A2235" s="19" t="s">
        <v>6767</v>
      </c>
      <c r="B2235" s="25" t="s">
        <v>8104</v>
      </c>
      <c r="C2235" s="22"/>
      <c r="D2235" s="26" t="str">
        <f t="shared" si="172"/>
        <v>https://kokusho.nijl.ac.jp/biblio/100232367/302</v>
      </c>
      <c r="E2235" s="22"/>
      <c r="F2235" s="22"/>
      <c r="G2235" s="22"/>
    </row>
    <row r="2236" spans="1:7" x14ac:dyDescent="0.15">
      <c r="A2236" s="19" t="s">
        <v>6767</v>
      </c>
      <c r="B2236" s="25" t="s">
        <v>8105</v>
      </c>
      <c r="C2236" s="22"/>
      <c r="D2236" s="26" t="str">
        <f t="shared" si="172"/>
        <v>https://kokusho.nijl.ac.jp/biblio/100232367/302</v>
      </c>
      <c r="E2236" s="22"/>
      <c r="F2236" s="22"/>
      <c r="G2236" s="22"/>
    </row>
    <row r="2237" spans="1:7" x14ac:dyDescent="0.15">
      <c r="A2237" s="19" t="s">
        <v>6767</v>
      </c>
      <c r="B2237" s="25" t="s">
        <v>8106</v>
      </c>
      <c r="C2237" s="22"/>
      <c r="D2237" s="26" t="str">
        <f t="shared" si="172"/>
        <v>https://kokusho.nijl.ac.jp/biblio/100232367/302</v>
      </c>
      <c r="E2237" s="22"/>
      <c r="F2237" s="22"/>
      <c r="G2237" s="22"/>
    </row>
    <row r="2238" spans="1:7" x14ac:dyDescent="0.15">
      <c r="A2238" s="19" t="s">
        <v>6767</v>
      </c>
      <c r="B2238" s="25" t="s">
        <v>8107</v>
      </c>
      <c r="C2238" s="22"/>
      <c r="D2238" s="26" t="str">
        <f>HYPERLINK("https://kokusho.nijl.ac.jp/biblio/100232367/303")</f>
        <v>https://kokusho.nijl.ac.jp/biblio/100232367/303</v>
      </c>
      <c r="E2238" s="22"/>
      <c r="F2238" s="22"/>
      <c r="G2238" s="22"/>
    </row>
    <row r="2239" spans="1:7" x14ac:dyDescent="0.15">
      <c r="A2239" s="19" t="s">
        <v>6767</v>
      </c>
      <c r="B2239" s="25" t="s">
        <v>8108</v>
      </c>
      <c r="C2239" s="22"/>
      <c r="D2239" s="26" t="str">
        <f>HYPERLINK("https://kokusho.nijl.ac.jp/biblio/100232367/303")</f>
        <v>https://kokusho.nijl.ac.jp/biblio/100232367/303</v>
      </c>
      <c r="E2239" s="22"/>
      <c r="F2239" s="22"/>
      <c r="G2239" s="22"/>
    </row>
    <row r="2240" spans="1:7" x14ac:dyDescent="0.15">
      <c r="A2240" s="19" t="s">
        <v>6767</v>
      </c>
      <c r="B2240" s="25" t="s">
        <v>6016</v>
      </c>
      <c r="C2240" s="22"/>
      <c r="D2240" s="26" t="str">
        <f>HYPERLINK("https://kokusho.nijl.ac.jp/biblio/100232367/303")</f>
        <v>https://kokusho.nijl.ac.jp/biblio/100232367/303</v>
      </c>
      <c r="E2240" s="22"/>
      <c r="F2240" s="22"/>
      <c r="G2240" s="22"/>
    </row>
    <row r="2241" spans="1:7" x14ac:dyDescent="0.15">
      <c r="A2241" s="19" t="s">
        <v>6767</v>
      </c>
      <c r="B2241" s="25" t="s">
        <v>8109</v>
      </c>
      <c r="C2241" s="22"/>
      <c r="D2241" s="26" t="str">
        <f>HYPERLINK("https://kokusho.nijl.ac.jp/biblio/100232367/303")</f>
        <v>https://kokusho.nijl.ac.jp/biblio/100232367/303</v>
      </c>
      <c r="E2241" s="22"/>
      <c r="F2241" s="22"/>
      <c r="G2241" s="22"/>
    </row>
    <row r="2242" spans="1:7" x14ac:dyDescent="0.15">
      <c r="A2242" s="19" t="s">
        <v>6767</v>
      </c>
      <c r="B2242" s="25" t="s">
        <v>8110</v>
      </c>
      <c r="C2242" s="22"/>
      <c r="D2242" s="26" t="str">
        <f>HYPERLINK("https://kokusho.nijl.ac.jp/biblio/100232367/304")</f>
        <v>https://kokusho.nijl.ac.jp/biblio/100232367/304</v>
      </c>
      <c r="E2242" s="22"/>
      <c r="F2242" s="22"/>
      <c r="G2242" s="22"/>
    </row>
    <row r="2243" spans="1:7" x14ac:dyDescent="0.15">
      <c r="A2243" s="19" t="s">
        <v>6767</v>
      </c>
      <c r="B2243" s="25" t="s">
        <v>8111</v>
      </c>
      <c r="C2243" s="22"/>
      <c r="D2243" s="26" t="str">
        <f>HYPERLINK("https://kokusho.nijl.ac.jp/biblio/100232367/304")</f>
        <v>https://kokusho.nijl.ac.jp/biblio/100232367/304</v>
      </c>
      <c r="E2243" s="22"/>
      <c r="F2243" s="22"/>
      <c r="G2243" s="22"/>
    </row>
    <row r="2244" spans="1:7" x14ac:dyDescent="0.15">
      <c r="A2244" s="19" t="s">
        <v>6767</v>
      </c>
      <c r="B2244" s="25" t="s">
        <v>8112</v>
      </c>
      <c r="C2244" s="22"/>
      <c r="D2244" s="26" t="str">
        <f>HYPERLINK("https://kokusho.nijl.ac.jp/biblio/100232367/304")</f>
        <v>https://kokusho.nijl.ac.jp/biblio/100232367/304</v>
      </c>
      <c r="E2244" s="22"/>
      <c r="F2244" s="22"/>
      <c r="G2244" s="22"/>
    </row>
    <row r="2245" spans="1:7" x14ac:dyDescent="0.15">
      <c r="A2245" s="19" t="s">
        <v>6767</v>
      </c>
      <c r="B2245" s="25" t="s">
        <v>8113</v>
      </c>
      <c r="C2245" s="22"/>
      <c r="D2245" s="26" t="str">
        <f>HYPERLINK("https://kokusho.nijl.ac.jp/biblio/100232367/304")</f>
        <v>https://kokusho.nijl.ac.jp/biblio/100232367/304</v>
      </c>
      <c r="E2245" s="22"/>
      <c r="F2245" s="22"/>
      <c r="G2245" s="22"/>
    </row>
    <row r="2246" spans="1:7" x14ac:dyDescent="0.15">
      <c r="A2246" s="19" t="s">
        <v>6767</v>
      </c>
      <c r="B2246" s="25" t="s">
        <v>8114</v>
      </c>
      <c r="C2246" s="22"/>
      <c r="D2246" s="26" t="str">
        <f>HYPERLINK("https://kokusho.nijl.ac.jp/biblio/100232367/304")</f>
        <v>https://kokusho.nijl.ac.jp/biblio/100232367/304</v>
      </c>
      <c r="E2246" s="22"/>
      <c r="F2246" s="22"/>
      <c r="G2246" s="22"/>
    </row>
    <row r="2247" spans="1:7" x14ac:dyDescent="0.15">
      <c r="A2247" s="19" t="s">
        <v>6767</v>
      </c>
      <c r="B2247" s="25" t="s">
        <v>8115</v>
      </c>
      <c r="C2247" s="22"/>
      <c r="D2247" s="26" t="str">
        <f>HYPERLINK("https://kokusho.nijl.ac.jp/biblio/100232367/305")</f>
        <v>https://kokusho.nijl.ac.jp/biblio/100232367/305</v>
      </c>
      <c r="E2247" s="22"/>
      <c r="F2247" s="22"/>
      <c r="G2247" s="22"/>
    </row>
    <row r="2248" spans="1:7" x14ac:dyDescent="0.15">
      <c r="A2248" s="19" t="s">
        <v>6767</v>
      </c>
      <c r="B2248" s="25" t="s">
        <v>6056</v>
      </c>
      <c r="C2248" s="22"/>
      <c r="D2248" s="26" t="str">
        <f>HYPERLINK("https://kokusho.nijl.ac.jp/biblio/100232367/305")</f>
        <v>https://kokusho.nijl.ac.jp/biblio/100232367/305</v>
      </c>
      <c r="E2248" s="22"/>
      <c r="F2248" s="22"/>
      <c r="G2248" s="22"/>
    </row>
    <row r="2249" spans="1:7" x14ac:dyDescent="0.15">
      <c r="A2249" s="19" t="s">
        <v>6767</v>
      </c>
      <c r="B2249" s="25" t="s">
        <v>8116</v>
      </c>
      <c r="C2249" s="22"/>
      <c r="D2249" s="26" t="str">
        <f>HYPERLINK("https://kokusho.nijl.ac.jp/biblio/100232367/305")</f>
        <v>https://kokusho.nijl.ac.jp/biblio/100232367/305</v>
      </c>
      <c r="E2249" s="22"/>
      <c r="F2249" s="22"/>
      <c r="G2249" s="22"/>
    </row>
    <row r="2250" spans="1:7" x14ac:dyDescent="0.15">
      <c r="A2250" s="19" t="s">
        <v>6767</v>
      </c>
      <c r="B2250" s="25" t="s">
        <v>8117</v>
      </c>
      <c r="C2250" s="22"/>
      <c r="D2250" s="26" t="str">
        <f>HYPERLINK("https://kokusho.nijl.ac.jp/biblio/100232367/305")</f>
        <v>https://kokusho.nijl.ac.jp/biblio/100232367/305</v>
      </c>
      <c r="E2250" s="22"/>
      <c r="F2250" s="22"/>
      <c r="G2250" s="22"/>
    </row>
    <row r="2251" spans="1:7" x14ac:dyDescent="0.15">
      <c r="A2251" s="19" t="s">
        <v>6767</v>
      </c>
      <c r="B2251" s="25" t="s">
        <v>8114</v>
      </c>
      <c r="C2251" s="22"/>
      <c r="D2251" s="26" t="str">
        <f>HYPERLINK("https://kokusho.nijl.ac.jp/biblio/100232367/305")</f>
        <v>https://kokusho.nijl.ac.jp/biblio/100232367/305</v>
      </c>
      <c r="E2251" s="22"/>
      <c r="F2251" s="22"/>
      <c r="G2251" s="22"/>
    </row>
    <row r="2252" spans="1:7" x14ac:dyDescent="0.15">
      <c r="A2252" s="19" t="s">
        <v>6767</v>
      </c>
      <c r="B2252" s="25" t="s">
        <v>8118</v>
      </c>
      <c r="C2252" s="22"/>
      <c r="D2252" s="26" t="str">
        <f>HYPERLINK("https://kokusho.nijl.ac.jp/biblio/100232367/306")</f>
        <v>https://kokusho.nijl.ac.jp/biblio/100232367/306</v>
      </c>
      <c r="E2252" s="22"/>
      <c r="F2252" s="22"/>
      <c r="G2252" s="22"/>
    </row>
    <row r="2253" spans="1:7" x14ac:dyDescent="0.15">
      <c r="A2253" s="19" t="s">
        <v>6767</v>
      </c>
      <c r="B2253" s="25" t="s">
        <v>6079</v>
      </c>
      <c r="C2253" s="22"/>
      <c r="D2253" s="26" t="str">
        <f>HYPERLINK("https://kokusho.nijl.ac.jp/biblio/100232367/306")</f>
        <v>https://kokusho.nijl.ac.jp/biblio/100232367/306</v>
      </c>
      <c r="E2253" s="22"/>
      <c r="F2253" s="22"/>
      <c r="G2253" s="22"/>
    </row>
    <row r="2254" spans="1:7" x14ac:dyDescent="0.15">
      <c r="A2254" s="19" t="s">
        <v>6767</v>
      </c>
      <c r="B2254" s="25" t="s">
        <v>8119</v>
      </c>
      <c r="C2254" s="22"/>
      <c r="D2254" s="26" t="str">
        <f>HYPERLINK("https://kokusho.nijl.ac.jp/biblio/100232367/306")</f>
        <v>https://kokusho.nijl.ac.jp/biblio/100232367/306</v>
      </c>
      <c r="E2254" s="22"/>
      <c r="F2254" s="22"/>
      <c r="G2254" s="22"/>
    </row>
    <row r="2255" spans="1:7" x14ac:dyDescent="0.15">
      <c r="A2255" s="19" t="s">
        <v>6767</v>
      </c>
      <c r="B2255" s="25" t="s">
        <v>8120</v>
      </c>
      <c r="C2255" s="22"/>
      <c r="D2255" s="26" t="str">
        <f>HYPERLINK("https://kokusho.nijl.ac.jp/biblio/100232367/307")</f>
        <v>https://kokusho.nijl.ac.jp/biblio/100232367/307</v>
      </c>
      <c r="E2255" s="22"/>
      <c r="F2255" s="22"/>
      <c r="G2255" s="22"/>
    </row>
    <row r="2256" spans="1:7" x14ac:dyDescent="0.15">
      <c r="A2256" s="19" t="s">
        <v>6767</v>
      </c>
      <c r="B2256" s="25" t="s">
        <v>8121</v>
      </c>
      <c r="C2256" s="22"/>
      <c r="D2256" s="26" t="str">
        <f>HYPERLINK("https://kokusho.nijl.ac.jp/biblio/100232367/307")</f>
        <v>https://kokusho.nijl.ac.jp/biblio/100232367/307</v>
      </c>
      <c r="E2256" s="22"/>
      <c r="F2256" s="22"/>
      <c r="G2256" s="22"/>
    </row>
    <row r="2257" spans="1:7" x14ac:dyDescent="0.15">
      <c r="A2257" s="19" t="s">
        <v>6767</v>
      </c>
      <c r="B2257" s="25" t="s">
        <v>8122</v>
      </c>
      <c r="C2257" s="22"/>
      <c r="D2257" s="26" t="str">
        <f>HYPERLINK("https://kokusho.nijl.ac.jp/biblio/100232367/307")</f>
        <v>https://kokusho.nijl.ac.jp/biblio/100232367/307</v>
      </c>
      <c r="E2257" s="22"/>
      <c r="F2257" s="22"/>
      <c r="G2257" s="22"/>
    </row>
    <row r="2258" spans="1:7" x14ac:dyDescent="0.15">
      <c r="A2258" s="19" t="s">
        <v>6767</v>
      </c>
      <c r="B2258" s="25" t="s">
        <v>8123</v>
      </c>
      <c r="C2258" s="22"/>
      <c r="D2258" s="26" t="str">
        <f>HYPERLINK("https://kokusho.nijl.ac.jp/biblio/100232367/308")</f>
        <v>https://kokusho.nijl.ac.jp/biblio/100232367/308</v>
      </c>
      <c r="E2258" s="22"/>
      <c r="F2258" s="22"/>
      <c r="G2258" s="22"/>
    </row>
    <row r="2259" spans="1:7" x14ac:dyDescent="0.15">
      <c r="A2259" s="19" t="s">
        <v>6767</v>
      </c>
      <c r="B2259" s="25" t="s">
        <v>8124</v>
      </c>
      <c r="C2259" s="22"/>
      <c r="D2259" s="26" t="str">
        <f>HYPERLINK("https://kokusho.nijl.ac.jp/biblio/100232367/308")</f>
        <v>https://kokusho.nijl.ac.jp/biblio/100232367/308</v>
      </c>
      <c r="E2259" s="22"/>
      <c r="F2259" s="22"/>
      <c r="G2259" s="22"/>
    </row>
    <row r="2260" spans="1:7" x14ac:dyDescent="0.15">
      <c r="A2260" s="19" t="s">
        <v>6767</v>
      </c>
      <c r="B2260" s="25" t="s">
        <v>8125</v>
      </c>
      <c r="C2260" s="22"/>
      <c r="D2260" s="26" t="str">
        <f>HYPERLINK("https://kokusho.nijl.ac.jp/biblio/100232367/308")</f>
        <v>https://kokusho.nijl.ac.jp/biblio/100232367/308</v>
      </c>
      <c r="E2260" s="22"/>
      <c r="F2260" s="22"/>
      <c r="G2260" s="22"/>
    </row>
    <row r="2261" spans="1:7" x14ac:dyDescent="0.15">
      <c r="A2261" s="19" t="s">
        <v>6767</v>
      </c>
      <c r="B2261" s="25" t="s">
        <v>8126</v>
      </c>
      <c r="C2261" s="22"/>
      <c r="D2261" s="26" t="str">
        <f>HYPERLINK("https://kokusho.nijl.ac.jp/biblio/100232367/308")</f>
        <v>https://kokusho.nijl.ac.jp/biblio/100232367/308</v>
      </c>
      <c r="E2261" s="22"/>
      <c r="F2261" s="22"/>
      <c r="G2261" s="22"/>
    </row>
    <row r="2262" spans="1:7" x14ac:dyDescent="0.15">
      <c r="A2262" s="19" t="s">
        <v>6767</v>
      </c>
      <c r="B2262" s="25" t="s">
        <v>8127</v>
      </c>
      <c r="C2262" s="22"/>
      <c r="D2262" s="26" t="str">
        <f>HYPERLINK("https://kokusho.nijl.ac.jp/biblio/100232367/309")</f>
        <v>https://kokusho.nijl.ac.jp/biblio/100232367/309</v>
      </c>
      <c r="E2262" s="22"/>
      <c r="F2262" s="22"/>
      <c r="G2262" s="22"/>
    </row>
    <row r="2263" spans="1:7" x14ac:dyDescent="0.15">
      <c r="A2263" s="19" t="s">
        <v>6767</v>
      </c>
      <c r="B2263" s="25" t="s">
        <v>8128</v>
      </c>
      <c r="C2263" s="22"/>
      <c r="D2263" s="26" t="str">
        <f>HYPERLINK("https://kokusho.nijl.ac.jp/biblio/100232367/309")</f>
        <v>https://kokusho.nijl.ac.jp/biblio/100232367/309</v>
      </c>
      <c r="E2263" s="22"/>
      <c r="F2263" s="22"/>
      <c r="G2263" s="22"/>
    </row>
    <row r="2264" spans="1:7" x14ac:dyDescent="0.15">
      <c r="A2264" s="19" t="s">
        <v>6767</v>
      </c>
      <c r="B2264" s="25" t="s">
        <v>8129</v>
      </c>
      <c r="C2264" s="22"/>
      <c r="D2264" s="26" t="str">
        <f>HYPERLINK("https://kokusho.nijl.ac.jp/biblio/100232367/309")</f>
        <v>https://kokusho.nijl.ac.jp/biblio/100232367/309</v>
      </c>
      <c r="E2264" s="22"/>
      <c r="F2264" s="22"/>
      <c r="G2264" s="22"/>
    </row>
    <row r="2265" spans="1:7" x14ac:dyDescent="0.15">
      <c r="A2265" s="19" t="s">
        <v>6767</v>
      </c>
      <c r="B2265" s="25" t="s">
        <v>8130</v>
      </c>
      <c r="C2265" s="22"/>
      <c r="D2265" s="26" t="str">
        <f>HYPERLINK("https://kokusho.nijl.ac.jp/biblio/100232367/309")</f>
        <v>https://kokusho.nijl.ac.jp/biblio/100232367/309</v>
      </c>
      <c r="E2265" s="22"/>
      <c r="F2265" s="22"/>
      <c r="G2265" s="22"/>
    </row>
    <row r="2266" spans="1:7" x14ac:dyDescent="0.15">
      <c r="A2266" s="19" t="s">
        <v>6767</v>
      </c>
      <c r="B2266" s="25" t="s">
        <v>8131</v>
      </c>
      <c r="C2266" s="22"/>
      <c r="D2266" s="26" t="str">
        <f>HYPERLINK("https://kokusho.nijl.ac.jp/biblio/100232367/309")</f>
        <v>https://kokusho.nijl.ac.jp/biblio/100232367/309</v>
      </c>
      <c r="E2266" s="22"/>
      <c r="F2266" s="22"/>
      <c r="G2266" s="22"/>
    </row>
    <row r="2267" spans="1:7" x14ac:dyDescent="0.15">
      <c r="A2267" s="19" t="s">
        <v>6767</v>
      </c>
      <c r="B2267" s="25" t="s">
        <v>8132</v>
      </c>
      <c r="C2267" s="22"/>
      <c r="D2267" s="26" t="str">
        <f>HYPERLINK("https://kokusho.nijl.ac.jp/biblio/100232367/310")</f>
        <v>https://kokusho.nijl.ac.jp/biblio/100232367/310</v>
      </c>
      <c r="E2267" s="22"/>
      <c r="F2267" s="22"/>
      <c r="G2267" s="22"/>
    </row>
    <row r="2268" spans="1:7" x14ac:dyDescent="0.15">
      <c r="A2268" s="19" t="s">
        <v>6767</v>
      </c>
      <c r="B2268" s="25" t="s">
        <v>8133</v>
      </c>
      <c r="C2268" s="22"/>
      <c r="D2268" s="26" t="str">
        <f>HYPERLINK("https://kokusho.nijl.ac.jp/biblio/100232367/310")</f>
        <v>https://kokusho.nijl.ac.jp/biblio/100232367/310</v>
      </c>
      <c r="E2268" s="22"/>
      <c r="F2268" s="22"/>
      <c r="G2268" s="22"/>
    </row>
    <row r="2269" spans="1:7" x14ac:dyDescent="0.15">
      <c r="A2269" s="19" t="s">
        <v>6767</v>
      </c>
      <c r="B2269" s="25" t="s">
        <v>8134</v>
      </c>
      <c r="C2269" s="22"/>
      <c r="D2269" s="26" t="str">
        <f>HYPERLINK("https://kokusho.nijl.ac.jp/biblio/100232367/310")</f>
        <v>https://kokusho.nijl.ac.jp/biblio/100232367/310</v>
      </c>
      <c r="E2269" s="22"/>
      <c r="F2269" s="22"/>
      <c r="G2269" s="22"/>
    </row>
    <row r="2270" spans="1:7" x14ac:dyDescent="0.15">
      <c r="A2270" s="19" t="s">
        <v>6767</v>
      </c>
      <c r="B2270" s="25" t="s">
        <v>8135</v>
      </c>
      <c r="C2270" s="22"/>
      <c r="D2270" s="26" t="str">
        <f>HYPERLINK("https://kokusho.nijl.ac.jp/biblio/100232367/310")</f>
        <v>https://kokusho.nijl.ac.jp/biblio/100232367/310</v>
      </c>
      <c r="E2270" s="22"/>
      <c r="F2270" s="22"/>
      <c r="G2270" s="22"/>
    </row>
    <row r="2271" spans="1:7" x14ac:dyDescent="0.15">
      <c r="A2271" s="19" t="s">
        <v>6767</v>
      </c>
      <c r="B2271" s="25" t="s">
        <v>8136</v>
      </c>
      <c r="C2271" s="22"/>
      <c r="D2271" s="26" t="str">
        <f t="shared" ref="D2271:D2276" si="173">HYPERLINK("https://kokusho.nijl.ac.jp/biblio/100232367/311")</f>
        <v>https://kokusho.nijl.ac.jp/biblio/100232367/311</v>
      </c>
      <c r="E2271" s="22"/>
      <c r="F2271" s="22"/>
      <c r="G2271" s="22"/>
    </row>
    <row r="2272" spans="1:7" x14ac:dyDescent="0.15">
      <c r="A2272" s="19" t="s">
        <v>6767</v>
      </c>
      <c r="B2272" s="25" t="s">
        <v>8137</v>
      </c>
      <c r="C2272" s="22"/>
      <c r="D2272" s="26" t="str">
        <f t="shared" si="173"/>
        <v>https://kokusho.nijl.ac.jp/biblio/100232367/311</v>
      </c>
      <c r="E2272" s="22"/>
      <c r="F2272" s="22"/>
      <c r="G2272" s="22"/>
    </row>
    <row r="2273" spans="1:7" x14ac:dyDescent="0.15">
      <c r="A2273" s="19" t="s">
        <v>6767</v>
      </c>
      <c r="B2273" s="25" t="s">
        <v>8138</v>
      </c>
      <c r="C2273" s="22"/>
      <c r="D2273" s="26" t="str">
        <f t="shared" si="173"/>
        <v>https://kokusho.nijl.ac.jp/biblio/100232367/311</v>
      </c>
      <c r="E2273" s="22"/>
      <c r="F2273" s="22"/>
      <c r="G2273" s="22"/>
    </row>
    <row r="2274" spans="1:7" x14ac:dyDescent="0.15">
      <c r="A2274" s="19" t="s">
        <v>6767</v>
      </c>
      <c r="B2274" s="25" t="s">
        <v>8139</v>
      </c>
      <c r="C2274" s="22"/>
      <c r="D2274" s="26" t="str">
        <f t="shared" si="173"/>
        <v>https://kokusho.nijl.ac.jp/biblio/100232367/311</v>
      </c>
      <c r="E2274" s="22"/>
      <c r="F2274" s="22"/>
      <c r="G2274" s="22"/>
    </row>
    <row r="2275" spans="1:7" x14ac:dyDescent="0.15">
      <c r="A2275" s="19" t="s">
        <v>6767</v>
      </c>
      <c r="B2275" s="25" t="s">
        <v>8140</v>
      </c>
      <c r="C2275" s="22"/>
      <c r="D2275" s="26" t="str">
        <f t="shared" si="173"/>
        <v>https://kokusho.nijl.ac.jp/biblio/100232367/311</v>
      </c>
      <c r="E2275" s="22"/>
      <c r="F2275" s="22"/>
      <c r="G2275" s="22"/>
    </row>
    <row r="2276" spans="1:7" x14ac:dyDescent="0.15">
      <c r="A2276" s="19" t="s">
        <v>6767</v>
      </c>
      <c r="B2276" s="25" t="s">
        <v>8141</v>
      </c>
      <c r="C2276" s="22"/>
      <c r="D2276" s="26" t="str">
        <f t="shared" si="173"/>
        <v>https://kokusho.nijl.ac.jp/biblio/100232367/311</v>
      </c>
      <c r="E2276" s="22"/>
      <c r="F2276" s="22"/>
      <c r="G2276" s="22"/>
    </row>
    <row r="2277" spans="1:7" x14ac:dyDescent="0.15">
      <c r="A2277" s="19" t="s">
        <v>6767</v>
      </c>
      <c r="B2277" s="25" t="s">
        <v>8142</v>
      </c>
      <c r="C2277" s="22"/>
      <c r="D2277" s="26" t="str">
        <f t="shared" ref="D2277:D2282" si="174">HYPERLINK("https://kokusho.nijl.ac.jp/biblio/100232367/312")</f>
        <v>https://kokusho.nijl.ac.jp/biblio/100232367/312</v>
      </c>
      <c r="E2277" s="22"/>
      <c r="F2277" s="22"/>
      <c r="G2277" s="22"/>
    </row>
    <row r="2278" spans="1:7" x14ac:dyDescent="0.15">
      <c r="A2278" s="19" t="s">
        <v>6767</v>
      </c>
      <c r="B2278" s="25" t="s">
        <v>8143</v>
      </c>
      <c r="C2278" s="22"/>
      <c r="D2278" s="26" t="str">
        <f t="shared" si="174"/>
        <v>https://kokusho.nijl.ac.jp/biblio/100232367/312</v>
      </c>
      <c r="E2278" s="22"/>
      <c r="F2278" s="22"/>
      <c r="G2278" s="22"/>
    </row>
    <row r="2279" spans="1:7" x14ac:dyDescent="0.15">
      <c r="A2279" s="19" t="s">
        <v>6767</v>
      </c>
      <c r="B2279" s="25" t="s">
        <v>8144</v>
      </c>
      <c r="C2279" s="22"/>
      <c r="D2279" s="26" t="str">
        <f t="shared" si="174"/>
        <v>https://kokusho.nijl.ac.jp/biblio/100232367/312</v>
      </c>
      <c r="E2279" s="22"/>
      <c r="F2279" s="22"/>
      <c r="G2279" s="22"/>
    </row>
    <row r="2280" spans="1:7" x14ac:dyDescent="0.15">
      <c r="A2280" s="19" t="s">
        <v>6767</v>
      </c>
      <c r="B2280" s="25" t="s">
        <v>8145</v>
      </c>
      <c r="C2280" s="22"/>
      <c r="D2280" s="26" t="str">
        <f t="shared" si="174"/>
        <v>https://kokusho.nijl.ac.jp/biblio/100232367/312</v>
      </c>
      <c r="E2280" s="22"/>
      <c r="F2280" s="22"/>
      <c r="G2280" s="22"/>
    </row>
    <row r="2281" spans="1:7" x14ac:dyDescent="0.15">
      <c r="A2281" s="19" t="s">
        <v>6767</v>
      </c>
      <c r="B2281" s="25" t="s">
        <v>8146</v>
      </c>
      <c r="C2281" s="22"/>
      <c r="D2281" s="26" t="str">
        <f t="shared" si="174"/>
        <v>https://kokusho.nijl.ac.jp/biblio/100232367/312</v>
      </c>
      <c r="E2281" s="22"/>
      <c r="F2281" s="22"/>
      <c r="G2281" s="22"/>
    </row>
    <row r="2282" spans="1:7" x14ac:dyDescent="0.15">
      <c r="A2282" s="19" t="s">
        <v>6767</v>
      </c>
      <c r="B2282" s="25" t="s">
        <v>8147</v>
      </c>
      <c r="C2282" s="22"/>
      <c r="D2282" s="26" t="str">
        <f t="shared" si="174"/>
        <v>https://kokusho.nijl.ac.jp/biblio/100232367/312</v>
      </c>
      <c r="E2282" s="22"/>
      <c r="F2282" s="22"/>
      <c r="G2282" s="22"/>
    </row>
    <row r="2283" spans="1:7" x14ac:dyDescent="0.15">
      <c r="A2283" s="19" t="s">
        <v>6767</v>
      </c>
      <c r="B2283" s="25" t="s">
        <v>8148</v>
      </c>
      <c r="C2283" s="22"/>
      <c r="D2283" s="26" t="str">
        <f t="shared" ref="D2283:D2288" si="175">HYPERLINK("https://kokusho.nijl.ac.jp/biblio/100232367/313")</f>
        <v>https://kokusho.nijl.ac.jp/biblio/100232367/313</v>
      </c>
      <c r="E2283" s="22"/>
      <c r="F2283" s="22"/>
      <c r="G2283" s="22"/>
    </row>
    <row r="2284" spans="1:7" x14ac:dyDescent="0.15">
      <c r="A2284" s="19" t="s">
        <v>6767</v>
      </c>
      <c r="B2284" s="25" t="s">
        <v>8149</v>
      </c>
      <c r="C2284" s="22"/>
      <c r="D2284" s="26" t="str">
        <f t="shared" si="175"/>
        <v>https://kokusho.nijl.ac.jp/biblio/100232367/313</v>
      </c>
      <c r="E2284" s="22"/>
      <c r="F2284" s="22"/>
      <c r="G2284" s="22"/>
    </row>
    <row r="2285" spans="1:7" x14ac:dyDescent="0.15">
      <c r="A2285" s="19" t="s">
        <v>6767</v>
      </c>
      <c r="B2285" s="25" t="s">
        <v>8150</v>
      </c>
      <c r="C2285" s="22"/>
      <c r="D2285" s="26" t="str">
        <f t="shared" si="175"/>
        <v>https://kokusho.nijl.ac.jp/biblio/100232367/313</v>
      </c>
      <c r="E2285" s="22"/>
      <c r="F2285" s="22"/>
      <c r="G2285" s="22"/>
    </row>
    <row r="2286" spans="1:7" x14ac:dyDescent="0.15">
      <c r="A2286" s="19" t="s">
        <v>6767</v>
      </c>
      <c r="B2286" s="25" t="s">
        <v>8151</v>
      </c>
      <c r="C2286" s="22"/>
      <c r="D2286" s="26" t="str">
        <f t="shared" si="175"/>
        <v>https://kokusho.nijl.ac.jp/biblio/100232367/313</v>
      </c>
      <c r="E2286" s="22"/>
      <c r="F2286" s="22"/>
      <c r="G2286" s="22"/>
    </row>
    <row r="2287" spans="1:7" x14ac:dyDescent="0.15">
      <c r="A2287" s="19" t="s">
        <v>6767</v>
      </c>
      <c r="B2287" s="25" t="s">
        <v>8152</v>
      </c>
      <c r="C2287" s="22"/>
      <c r="D2287" s="26" t="str">
        <f t="shared" si="175"/>
        <v>https://kokusho.nijl.ac.jp/biblio/100232367/313</v>
      </c>
      <c r="E2287" s="22"/>
      <c r="F2287" s="22"/>
      <c r="G2287" s="22"/>
    </row>
    <row r="2288" spans="1:7" x14ac:dyDescent="0.15">
      <c r="A2288" s="19" t="s">
        <v>6767</v>
      </c>
      <c r="B2288" s="25" t="s">
        <v>8153</v>
      </c>
      <c r="C2288" s="22"/>
      <c r="D2288" s="26" t="str">
        <f t="shared" si="175"/>
        <v>https://kokusho.nijl.ac.jp/biblio/100232367/313</v>
      </c>
      <c r="E2288" s="22"/>
      <c r="F2288" s="22"/>
      <c r="G2288" s="22"/>
    </row>
    <row r="2289" spans="1:7" x14ac:dyDescent="0.15">
      <c r="A2289" s="19" t="s">
        <v>6767</v>
      </c>
      <c r="B2289" s="25" t="s">
        <v>8154</v>
      </c>
      <c r="C2289" s="22"/>
      <c r="D2289" s="26" t="str">
        <f>HYPERLINK("https://kokusho.nijl.ac.jp/biblio/100232367/314")</f>
        <v>https://kokusho.nijl.ac.jp/biblio/100232367/314</v>
      </c>
      <c r="E2289" s="22"/>
      <c r="F2289" s="22"/>
      <c r="G2289" s="22"/>
    </row>
    <row r="2290" spans="1:7" x14ac:dyDescent="0.15">
      <c r="A2290" s="19" t="s">
        <v>6767</v>
      </c>
      <c r="B2290" s="25" t="s">
        <v>8155</v>
      </c>
      <c r="C2290" s="22"/>
      <c r="D2290" s="26" t="str">
        <f>HYPERLINK("https://kokusho.nijl.ac.jp/biblio/100232367/314")</f>
        <v>https://kokusho.nijl.ac.jp/biblio/100232367/314</v>
      </c>
      <c r="E2290" s="22"/>
      <c r="F2290" s="22"/>
      <c r="G2290" s="22"/>
    </row>
    <row r="2291" spans="1:7" x14ac:dyDescent="0.15">
      <c r="A2291" s="19" t="s">
        <v>6767</v>
      </c>
      <c r="B2291" s="25" t="s">
        <v>8156</v>
      </c>
      <c r="C2291" s="22"/>
      <c r="D2291" s="26" t="str">
        <f>HYPERLINK("https://kokusho.nijl.ac.jp/biblio/100232367/314")</f>
        <v>https://kokusho.nijl.ac.jp/biblio/100232367/314</v>
      </c>
      <c r="E2291" s="22"/>
      <c r="F2291" s="22"/>
      <c r="G2291" s="22"/>
    </row>
    <row r="2292" spans="1:7" x14ac:dyDescent="0.15">
      <c r="A2292" s="19" t="s">
        <v>6767</v>
      </c>
      <c r="B2292" s="25" t="s">
        <v>8157</v>
      </c>
      <c r="C2292" s="22"/>
      <c r="D2292" s="26" t="str">
        <f>HYPERLINK("https://kokusho.nijl.ac.jp/biblio/100232367/314")</f>
        <v>https://kokusho.nijl.ac.jp/biblio/100232367/314</v>
      </c>
      <c r="E2292" s="22"/>
      <c r="F2292" s="22"/>
      <c r="G2292" s="22"/>
    </row>
    <row r="2293" spans="1:7" x14ac:dyDescent="0.15">
      <c r="A2293" s="19" t="s">
        <v>6767</v>
      </c>
      <c r="B2293" s="25" t="s">
        <v>8158</v>
      </c>
      <c r="C2293" s="22"/>
      <c r="D2293" s="26" t="str">
        <f>HYPERLINK("https://kokusho.nijl.ac.jp/biblio/100232367/314")</f>
        <v>https://kokusho.nijl.ac.jp/biblio/100232367/314</v>
      </c>
      <c r="E2293" s="22"/>
      <c r="F2293" s="22"/>
      <c r="G2293" s="22"/>
    </row>
    <row r="2294" spans="1:7" x14ac:dyDescent="0.15">
      <c r="A2294" s="19" t="s">
        <v>6767</v>
      </c>
      <c r="B2294" s="25" t="s">
        <v>8159</v>
      </c>
      <c r="C2294" s="22"/>
      <c r="D2294" s="26" t="str">
        <f>HYPERLINK("https://kokusho.nijl.ac.jp/biblio/100232367/315")</f>
        <v>https://kokusho.nijl.ac.jp/biblio/100232367/315</v>
      </c>
      <c r="E2294" s="22"/>
      <c r="F2294" s="22"/>
      <c r="G2294" s="22"/>
    </row>
    <row r="2295" spans="1:7" x14ac:dyDescent="0.15">
      <c r="A2295" s="19" t="s">
        <v>6767</v>
      </c>
      <c r="B2295" s="25" t="s">
        <v>8160</v>
      </c>
      <c r="C2295" s="22"/>
      <c r="D2295" s="26" t="str">
        <f>HYPERLINK("https://kokusho.nijl.ac.jp/biblio/100232367/315")</f>
        <v>https://kokusho.nijl.ac.jp/biblio/100232367/315</v>
      </c>
      <c r="E2295" s="22"/>
      <c r="F2295" s="22"/>
      <c r="G2295" s="22"/>
    </row>
    <row r="2296" spans="1:7" x14ac:dyDescent="0.15">
      <c r="A2296" s="19" t="s">
        <v>6767</v>
      </c>
      <c r="B2296" s="25" t="s">
        <v>8161</v>
      </c>
      <c r="C2296" s="22"/>
      <c r="D2296" s="26" t="str">
        <f>HYPERLINK("https://kokusho.nijl.ac.jp/biblio/100232367/315")</f>
        <v>https://kokusho.nijl.ac.jp/biblio/100232367/315</v>
      </c>
      <c r="E2296" s="22"/>
      <c r="F2296" s="22"/>
      <c r="G2296" s="22"/>
    </row>
    <row r="2297" spans="1:7" x14ac:dyDescent="0.15">
      <c r="A2297" s="19" t="s">
        <v>6767</v>
      </c>
      <c r="B2297" s="25" t="s">
        <v>8162</v>
      </c>
      <c r="C2297" s="22"/>
      <c r="D2297" s="26" t="str">
        <f t="shared" ref="D2297:D2304" si="176">HYPERLINK("https://kokusho.nijl.ac.jp/biblio/100232367/316")</f>
        <v>https://kokusho.nijl.ac.jp/biblio/100232367/316</v>
      </c>
      <c r="E2297" s="22"/>
      <c r="F2297" s="22"/>
      <c r="G2297" s="22"/>
    </row>
    <row r="2298" spans="1:7" x14ac:dyDescent="0.15">
      <c r="A2298" s="19" t="s">
        <v>6767</v>
      </c>
      <c r="B2298" s="25" t="s">
        <v>8163</v>
      </c>
      <c r="C2298" s="22"/>
      <c r="D2298" s="26" t="str">
        <f t="shared" si="176"/>
        <v>https://kokusho.nijl.ac.jp/biblio/100232367/316</v>
      </c>
      <c r="E2298" s="22"/>
      <c r="F2298" s="22"/>
      <c r="G2298" s="22"/>
    </row>
    <row r="2299" spans="1:7" x14ac:dyDescent="0.15">
      <c r="A2299" s="19" t="s">
        <v>6767</v>
      </c>
      <c r="B2299" s="25" t="s">
        <v>8164</v>
      </c>
      <c r="C2299" s="22"/>
      <c r="D2299" s="26" t="str">
        <f t="shared" si="176"/>
        <v>https://kokusho.nijl.ac.jp/biblio/100232367/316</v>
      </c>
      <c r="E2299" s="22"/>
      <c r="F2299" s="22"/>
      <c r="G2299" s="22"/>
    </row>
    <row r="2300" spans="1:7" x14ac:dyDescent="0.15">
      <c r="A2300" s="19" t="s">
        <v>6767</v>
      </c>
      <c r="B2300" s="25" t="s">
        <v>8165</v>
      </c>
      <c r="C2300" s="22"/>
      <c r="D2300" s="26" t="str">
        <f t="shared" si="176"/>
        <v>https://kokusho.nijl.ac.jp/biblio/100232367/316</v>
      </c>
      <c r="E2300" s="22"/>
      <c r="F2300" s="22"/>
      <c r="G2300" s="22"/>
    </row>
    <row r="2301" spans="1:7" x14ac:dyDescent="0.15">
      <c r="A2301" s="19" t="s">
        <v>6767</v>
      </c>
      <c r="B2301" s="25" t="s">
        <v>8166</v>
      </c>
      <c r="C2301" s="22"/>
      <c r="D2301" s="26" t="str">
        <f t="shared" si="176"/>
        <v>https://kokusho.nijl.ac.jp/biblio/100232367/316</v>
      </c>
      <c r="E2301" s="22"/>
      <c r="F2301" s="22"/>
      <c r="G2301" s="22"/>
    </row>
    <row r="2302" spans="1:7" x14ac:dyDescent="0.15">
      <c r="A2302" s="19" t="s">
        <v>6767</v>
      </c>
      <c r="B2302" s="25" t="s">
        <v>8167</v>
      </c>
      <c r="C2302" s="22"/>
      <c r="D2302" s="26" t="str">
        <f t="shared" si="176"/>
        <v>https://kokusho.nijl.ac.jp/biblio/100232367/316</v>
      </c>
      <c r="E2302" s="22"/>
      <c r="F2302" s="22"/>
      <c r="G2302" s="22"/>
    </row>
    <row r="2303" spans="1:7" x14ac:dyDescent="0.15">
      <c r="A2303" s="19" t="s">
        <v>6767</v>
      </c>
      <c r="B2303" s="25" t="s">
        <v>8168</v>
      </c>
      <c r="C2303" s="22"/>
      <c r="D2303" s="26" t="str">
        <f t="shared" si="176"/>
        <v>https://kokusho.nijl.ac.jp/biblio/100232367/316</v>
      </c>
      <c r="E2303" s="22"/>
      <c r="F2303" s="22"/>
      <c r="G2303" s="22"/>
    </row>
    <row r="2304" spans="1:7" x14ac:dyDescent="0.15">
      <c r="A2304" s="19" t="s">
        <v>6767</v>
      </c>
      <c r="B2304" s="25" t="s">
        <v>8169</v>
      </c>
      <c r="C2304" s="22"/>
      <c r="D2304" s="26" t="str">
        <f t="shared" si="176"/>
        <v>https://kokusho.nijl.ac.jp/biblio/100232367/316</v>
      </c>
      <c r="E2304" s="22"/>
      <c r="F2304" s="22"/>
      <c r="G2304" s="22"/>
    </row>
    <row r="2305" spans="1:7" x14ac:dyDescent="0.15">
      <c r="A2305" s="19" t="s">
        <v>6767</v>
      </c>
      <c r="B2305" s="25" t="s">
        <v>8170</v>
      </c>
      <c r="C2305" s="22"/>
      <c r="D2305" s="26" t="str">
        <f t="shared" ref="D2305:D2310" si="177">HYPERLINK("https://kokusho.nijl.ac.jp/biblio/100232367/317")</f>
        <v>https://kokusho.nijl.ac.jp/biblio/100232367/317</v>
      </c>
      <c r="E2305" s="22"/>
      <c r="F2305" s="22"/>
      <c r="G2305" s="22"/>
    </row>
    <row r="2306" spans="1:7" x14ac:dyDescent="0.15">
      <c r="A2306" s="19" t="s">
        <v>6767</v>
      </c>
      <c r="B2306" s="25" t="s">
        <v>8171</v>
      </c>
      <c r="C2306" s="22"/>
      <c r="D2306" s="26" t="str">
        <f t="shared" si="177"/>
        <v>https://kokusho.nijl.ac.jp/biblio/100232367/317</v>
      </c>
      <c r="E2306" s="22"/>
      <c r="F2306" s="22"/>
      <c r="G2306" s="22"/>
    </row>
    <row r="2307" spans="1:7" x14ac:dyDescent="0.15">
      <c r="A2307" s="19" t="s">
        <v>6767</v>
      </c>
      <c r="B2307" s="25" t="s">
        <v>8172</v>
      </c>
      <c r="C2307" s="22"/>
      <c r="D2307" s="26" t="str">
        <f t="shared" si="177"/>
        <v>https://kokusho.nijl.ac.jp/biblio/100232367/317</v>
      </c>
      <c r="E2307" s="22"/>
      <c r="F2307" s="22"/>
      <c r="G2307" s="22"/>
    </row>
    <row r="2308" spans="1:7" x14ac:dyDescent="0.15">
      <c r="A2308" s="19" t="s">
        <v>6767</v>
      </c>
      <c r="B2308" s="25" t="s">
        <v>8173</v>
      </c>
      <c r="C2308" s="22"/>
      <c r="D2308" s="26" t="str">
        <f t="shared" si="177"/>
        <v>https://kokusho.nijl.ac.jp/biblio/100232367/317</v>
      </c>
      <c r="E2308" s="22"/>
      <c r="F2308" s="22"/>
      <c r="G2308" s="22"/>
    </row>
    <row r="2309" spans="1:7" x14ac:dyDescent="0.15">
      <c r="A2309" s="19" t="s">
        <v>6767</v>
      </c>
      <c r="B2309" s="25" t="s">
        <v>5977</v>
      </c>
      <c r="C2309" s="22"/>
      <c r="D2309" s="26" t="str">
        <f t="shared" si="177"/>
        <v>https://kokusho.nijl.ac.jp/biblio/100232367/317</v>
      </c>
      <c r="E2309" s="22"/>
      <c r="F2309" s="22"/>
      <c r="G2309" s="22"/>
    </row>
    <row r="2310" spans="1:7" x14ac:dyDescent="0.15">
      <c r="A2310" s="19" t="s">
        <v>6767</v>
      </c>
      <c r="B2310" s="25" t="s">
        <v>6001</v>
      </c>
      <c r="C2310" s="22"/>
      <c r="D2310" s="26" t="str">
        <f t="shared" si="177"/>
        <v>https://kokusho.nijl.ac.jp/biblio/100232367/317</v>
      </c>
      <c r="E2310" s="22"/>
      <c r="F2310" s="22"/>
      <c r="G2310" s="22"/>
    </row>
    <row r="2311" spans="1:7" x14ac:dyDescent="0.15">
      <c r="A2311" s="19" t="s">
        <v>6767</v>
      </c>
      <c r="B2311" s="25" t="s">
        <v>8174</v>
      </c>
      <c r="C2311" s="22"/>
      <c r="D2311" s="26" t="str">
        <f t="shared" ref="D2311:D2318" si="178">HYPERLINK("https://kokusho.nijl.ac.jp/biblio/100232367/318")</f>
        <v>https://kokusho.nijl.ac.jp/biblio/100232367/318</v>
      </c>
      <c r="E2311" s="22"/>
      <c r="F2311" s="22"/>
      <c r="G2311" s="22"/>
    </row>
    <row r="2312" spans="1:7" x14ac:dyDescent="0.15">
      <c r="A2312" s="19" t="s">
        <v>6767</v>
      </c>
      <c r="B2312" s="25" t="s">
        <v>8175</v>
      </c>
      <c r="C2312" s="22"/>
      <c r="D2312" s="26" t="str">
        <f t="shared" si="178"/>
        <v>https://kokusho.nijl.ac.jp/biblio/100232367/318</v>
      </c>
      <c r="E2312" s="22"/>
      <c r="F2312" s="22"/>
      <c r="G2312" s="22"/>
    </row>
    <row r="2313" spans="1:7" x14ac:dyDescent="0.15">
      <c r="A2313" s="19" t="s">
        <v>6767</v>
      </c>
      <c r="B2313" s="25" t="s">
        <v>8176</v>
      </c>
      <c r="C2313" s="22"/>
      <c r="D2313" s="26" t="str">
        <f t="shared" si="178"/>
        <v>https://kokusho.nijl.ac.jp/biblio/100232367/318</v>
      </c>
      <c r="E2313" s="22"/>
      <c r="F2313" s="22"/>
      <c r="G2313" s="22"/>
    </row>
    <row r="2314" spans="1:7" x14ac:dyDescent="0.15">
      <c r="A2314" s="19" t="s">
        <v>6767</v>
      </c>
      <c r="B2314" s="25" t="s">
        <v>8177</v>
      </c>
      <c r="C2314" s="22"/>
      <c r="D2314" s="26" t="str">
        <f t="shared" si="178"/>
        <v>https://kokusho.nijl.ac.jp/biblio/100232367/318</v>
      </c>
      <c r="E2314" s="22"/>
      <c r="F2314" s="22"/>
      <c r="G2314" s="22"/>
    </row>
    <row r="2315" spans="1:7" x14ac:dyDescent="0.15">
      <c r="A2315" s="19" t="s">
        <v>6767</v>
      </c>
      <c r="B2315" s="25" t="s">
        <v>8178</v>
      </c>
      <c r="C2315" s="22"/>
      <c r="D2315" s="26" t="str">
        <f t="shared" si="178"/>
        <v>https://kokusho.nijl.ac.jp/biblio/100232367/318</v>
      </c>
      <c r="E2315" s="22"/>
      <c r="F2315" s="22"/>
      <c r="G2315" s="22"/>
    </row>
    <row r="2316" spans="1:7" x14ac:dyDescent="0.15">
      <c r="A2316" s="19" t="s">
        <v>6767</v>
      </c>
      <c r="B2316" s="25" t="s">
        <v>8179</v>
      </c>
      <c r="C2316" s="22"/>
      <c r="D2316" s="26" t="str">
        <f t="shared" si="178"/>
        <v>https://kokusho.nijl.ac.jp/biblio/100232367/318</v>
      </c>
      <c r="E2316" s="22"/>
      <c r="F2316" s="22"/>
      <c r="G2316" s="22"/>
    </row>
    <row r="2317" spans="1:7" x14ac:dyDescent="0.15">
      <c r="A2317" s="19" t="s">
        <v>6767</v>
      </c>
      <c r="B2317" s="25" t="s">
        <v>8180</v>
      </c>
      <c r="C2317" s="22"/>
      <c r="D2317" s="26" t="str">
        <f t="shared" si="178"/>
        <v>https://kokusho.nijl.ac.jp/biblio/100232367/318</v>
      </c>
      <c r="E2317" s="22"/>
      <c r="F2317" s="22"/>
      <c r="G2317" s="22"/>
    </row>
    <row r="2318" spans="1:7" x14ac:dyDescent="0.15">
      <c r="A2318" s="19" t="s">
        <v>6767</v>
      </c>
      <c r="B2318" s="25" t="s">
        <v>8181</v>
      </c>
      <c r="C2318" s="22"/>
      <c r="D2318" s="26" t="str">
        <f t="shared" si="178"/>
        <v>https://kokusho.nijl.ac.jp/biblio/100232367/318</v>
      </c>
      <c r="E2318" s="22"/>
      <c r="F2318" s="22"/>
      <c r="G2318" s="22"/>
    </row>
    <row r="2319" spans="1:7" x14ac:dyDescent="0.15">
      <c r="A2319" s="19" t="s">
        <v>6767</v>
      </c>
      <c r="B2319" s="25" t="s">
        <v>8182</v>
      </c>
      <c r="C2319" s="22"/>
      <c r="D2319" s="26" t="str">
        <f t="shared" ref="D2319:D2325" si="179">HYPERLINK("https://kokusho.nijl.ac.jp/biblio/100232367/319")</f>
        <v>https://kokusho.nijl.ac.jp/biblio/100232367/319</v>
      </c>
      <c r="E2319" s="22"/>
      <c r="F2319" s="22"/>
      <c r="G2319" s="22"/>
    </row>
    <row r="2320" spans="1:7" x14ac:dyDescent="0.15">
      <c r="A2320" s="19" t="s">
        <v>6767</v>
      </c>
      <c r="B2320" s="25" t="s">
        <v>8183</v>
      </c>
      <c r="C2320" s="22"/>
      <c r="D2320" s="26" t="str">
        <f t="shared" si="179"/>
        <v>https://kokusho.nijl.ac.jp/biblio/100232367/319</v>
      </c>
      <c r="E2320" s="22"/>
      <c r="F2320" s="22"/>
      <c r="G2320" s="22"/>
    </row>
    <row r="2321" spans="1:7" x14ac:dyDescent="0.15">
      <c r="A2321" s="19" t="s">
        <v>6767</v>
      </c>
      <c r="B2321" s="25" t="s">
        <v>8184</v>
      </c>
      <c r="C2321" s="22"/>
      <c r="D2321" s="26" t="str">
        <f t="shared" si="179"/>
        <v>https://kokusho.nijl.ac.jp/biblio/100232367/319</v>
      </c>
      <c r="E2321" s="22"/>
      <c r="F2321" s="22"/>
      <c r="G2321" s="22"/>
    </row>
    <row r="2322" spans="1:7" x14ac:dyDescent="0.15">
      <c r="A2322" s="19" t="s">
        <v>6767</v>
      </c>
      <c r="B2322" s="25" t="s">
        <v>8185</v>
      </c>
      <c r="C2322" s="22"/>
      <c r="D2322" s="26" t="str">
        <f t="shared" si="179"/>
        <v>https://kokusho.nijl.ac.jp/biblio/100232367/319</v>
      </c>
      <c r="E2322" s="22"/>
      <c r="F2322" s="22"/>
      <c r="G2322" s="22"/>
    </row>
    <row r="2323" spans="1:7" x14ac:dyDescent="0.15">
      <c r="A2323" s="19" t="s">
        <v>6767</v>
      </c>
      <c r="B2323" s="25" t="s">
        <v>8186</v>
      </c>
      <c r="C2323" s="22"/>
      <c r="D2323" s="26" t="str">
        <f t="shared" si="179"/>
        <v>https://kokusho.nijl.ac.jp/biblio/100232367/319</v>
      </c>
      <c r="E2323" s="22"/>
      <c r="F2323" s="22"/>
      <c r="G2323" s="22"/>
    </row>
    <row r="2324" spans="1:7" x14ac:dyDescent="0.15">
      <c r="A2324" s="19" t="s">
        <v>6767</v>
      </c>
      <c r="B2324" s="25" t="s">
        <v>8187</v>
      </c>
      <c r="C2324" s="22"/>
      <c r="D2324" s="26" t="str">
        <f t="shared" si="179"/>
        <v>https://kokusho.nijl.ac.jp/biblio/100232367/319</v>
      </c>
      <c r="E2324" s="22"/>
      <c r="F2324" s="22"/>
      <c r="G2324" s="22"/>
    </row>
    <row r="2325" spans="1:7" x14ac:dyDescent="0.15">
      <c r="A2325" s="19" t="s">
        <v>6767</v>
      </c>
      <c r="B2325" s="25" t="s">
        <v>8188</v>
      </c>
      <c r="C2325" s="22"/>
      <c r="D2325" s="26" t="str">
        <f t="shared" si="179"/>
        <v>https://kokusho.nijl.ac.jp/biblio/100232367/319</v>
      </c>
      <c r="E2325" s="22"/>
      <c r="F2325" s="22"/>
      <c r="G2325" s="22"/>
    </row>
    <row r="2326" spans="1:7" x14ac:dyDescent="0.15">
      <c r="A2326" s="19" t="s">
        <v>6767</v>
      </c>
      <c r="B2326" s="25" t="s">
        <v>8189</v>
      </c>
      <c r="C2326" s="22"/>
      <c r="D2326" s="26" t="str">
        <f t="shared" ref="D2326:D2335" si="180">HYPERLINK("https://kokusho.nijl.ac.jp/biblio/100232367/320")</f>
        <v>https://kokusho.nijl.ac.jp/biblio/100232367/320</v>
      </c>
      <c r="E2326" s="22"/>
      <c r="F2326" s="22"/>
      <c r="G2326" s="22"/>
    </row>
    <row r="2327" spans="1:7" ht="27" x14ac:dyDescent="0.15">
      <c r="A2327" s="19" t="s">
        <v>6767</v>
      </c>
      <c r="B2327" s="25" t="s">
        <v>8190</v>
      </c>
      <c r="C2327" s="22"/>
      <c r="D2327" s="26" t="str">
        <f t="shared" si="180"/>
        <v>https://kokusho.nijl.ac.jp/biblio/100232367/320</v>
      </c>
      <c r="E2327" s="22"/>
      <c r="F2327" s="22"/>
      <c r="G2327" s="22"/>
    </row>
    <row r="2328" spans="1:7" x14ac:dyDescent="0.15">
      <c r="A2328" s="19" t="s">
        <v>6767</v>
      </c>
      <c r="B2328" s="25" t="s">
        <v>8191</v>
      </c>
      <c r="C2328" s="22"/>
      <c r="D2328" s="26" t="str">
        <f t="shared" si="180"/>
        <v>https://kokusho.nijl.ac.jp/biblio/100232367/320</v>
      </c>
      <c r="E2328" s="22"/>
      <c r="F2328" s="22"/>
      <c r="G2328" s="22"/>
    </row>
    <row r="2329" spans="1:7" x14ac:dyDescent="0.15">
      <c r="A2329" s="19" t="s">
        <v>6767</v>
      </c>
      <c r="B2329" s="25" t="s">
        <v>8192</v>
      </c>
      <c r="C2329" s="22"/>
      <c r="D2329" s="26" t="str">
        <f t="shared" si="180"/>
        <v>https://kokusho.nijl.ac.jp/biblio/100232367/320</v>
      </c>
      <c r="E2329" s="22"/>
      <c r="F2329" s="22"/>
      <c r="G2329" s="22"/>
    </row>
    <row r="2330" spans="1:7" x14ac:dyDescent="0.15">
      <c r="A2330" s="19" t="s">
        <v>6767</v>
      </c>
      <c r="B2330" s="25" t="s">
        <v>8193</v>
      </c>
      <c r="C2330" s="22"/>
      <c r="D2330" s="26" t="str">
        <f t="shared" si="180"/>
        <v>https://kokusho.nijl.ac.jp/biblio/100232367/320</v>
      </c>
      <c r="E2330" s="22"/>
      <c r="F2330" s="22"/>
      <c r="G2330" s="22"/>
    </row>
    <row r="2331" spans="1:7" x14ac:dyDescent="0.15">
      <c r="A2331" s="19" t="s">
        <v>6767</v>
      </c>
      <c r="B2331" s="25" t="s">
        <v>8194</v>
      </c>
      <c r="C2331" s="22"/>
      <c r="D2331" s="26" t="str">
        <f t="shared" si="180"/>
        <v>https://kokusho.nijl.ac.jp/biblio/100232367/320</v>
      </c>
      <c r="E2331" s="22"/>
      <c r="F2331" s="22"/>
      <c r="G2331" s="22"/>
    </row>
    <row r="2332" spans="1:7" x14ac:dyDescent="0.15">
      <c r="A2332" s="19" t="s">
        <v>6767</v>
      </c>
      <c r="B2332" s="25" t="s">
        <v>8195</v>
      </c>
      <c r="C2332" s="22"/>
      <c r="D2332" s="26" t="str">
        <f t="shared" si="180"/>
        <v>https://kokusho.nijl.ac.jp/biblio/100232367/320</v>
      </c>
      <c r="E2332" s="22"/>
      <c r="F2332" s="22"/>
      <c r="G2332" s="22"/>
    </row>
    <row r="2333" spans="1:7" x14ac:dyDescent="0.15">
      <c r="A2333" s="19" t="s">
        <v>6767</v>
      </c>
      <c r="B2333" s="25" t="s">
        <v>8196</v>
      </c>
      <c r="C2333" s="22"/>
      <c r="D2333" s="26" t="str">
        <f t="shared" si="180"/>
        <v>https://kokusho.nijl.ac.jp/biblio/100232367/320</v>
      </c>
      <c r="E2333" s="22"/>
      <c r="F2333" s="22"/>
      <c r="G2333" s="22"/>
    </row>
    <row r="2334" spans="1:7" x14ac:dyDescent="0.15">
      <c r="A2334" s="19" t="s">
        <v>6767</v>
      </c>
      <c r="B2334" s="25" t="s">
        <v>8197</v>
      </c>
      <c r="C2334" s="22"/>
      <c r="D2334" s="26" t="str">
        <f t="shared" si="180"/>
        <v>https://kokusho.nijl.ac.jp/biblio/100232367/320</v>
      </c>
      <c r="E2334" s="22"/>
      <c r="F2334" s="22"/>
      <c r="G2334" s="22"/>
    </row>
    <row r="2335" spans="1:7" x14ac:dyDescent="0.15">
      <c r="A2335" s="19" t="s">
        <v>6767</v>
      </c>
      <c r="B2335" s="25" t="s">
        <v>8198</v>
      </c>
      <c r="C2335" s="22"/>
      <c r="D2335" s="26" t="str">
        <f t="shared" si="180"/>
        <v>https://kokusho.nijl.ac.jp/biblio/100232367/320</v>
      </c>
      <c r="E2335" s="22"/>
      <c r="F2335" s="22"/>
      <c r="G2335" s="22"/>
    </row>
    <row r="2336" spans="1:7" x14ac:dyDescent="0.15">
      <c r="A2336" s="19" t="s">
        <v>6767</v>
      </c>
      <c r="B2336" s="25" t="s">
        <v>8199</v>
      </c>
      <c r="C2336" s="22"/>
      <c r="D2336" s="26" t="str">
        <f t="shared" ref="D2336:D2346" si="181">HYPERLINK("https://kokusho.nijl.ac.jp/biblio/100232367/321")</f>
        <v>https://kokusho.nijl.ac.jp/biblio/100232367/321</v>
      </c>
      <c r="E2336" s="22"/>
      <c r="F2336" s="22"/>
      <c r="G2336" s="22"/>
    </row>
    <row r="2337" spans="1:7" x14ac:dyDescent="0.15">
      <c r="A2337" s="19" t="s">
        <v>6767</v>
      </c>
      <c r="B2337" s="25" t="s">
        <v>8200</v>
      </c>
      <c r="C2337" s="22"/>
      <c r="D2337" s="26" t="str">
        <f t="shared" si="181"/>
        <v>https://kokusho.nijl.ac.jp/biblio/100232367/321</v>
      </c>
      <c r="E2337" s="22"/>
      <c r="F2337" s="22"/>
      <c r="G2337" s="22"/>
    </row>
    <row r="2338" spans="1:7" x14ac:dyDescent="0.15">
      <c r="A2338" s="19" t="s">
        <v>6767</v>
      </c>
      <c r="B2338" s="25" t="s">
        <v>6067</v>
      </c>
      <c r="C2338" s="22"/>
      <c r="D2338" s="26" t="str">
        <f t="shared" si="181"/>
        <v>https://kokusho.nijl.ac.jp/biblio/100232367/321</v>
      </c>
      <c r="E2338" s="22"/>
      <c r="F2338" s="22"/>
      <c r="G2338" s="22"/>
    </row>
    <row r="2339" spans="1:7" x14ac:dyDescent="0.15">
      <c r="A2339" s="19" t="s">
        <v>6767</v>
      </c>
      <c r="B2339" s="25" t="s">
        <v>8201</v>
      </c>
      <c r="C2339" s="22"/>
      <c r="D2339" s="26" t="str">
        <f t="shared" si="181"/>
        <v>https://kokusho.nijl.ac.jp/biblio/100232367/321</v>
      </c>
      <c r="E2339" s="22"/>
      <c r="F2339" s="22"/>
      <c r="G2339" s="22"/>
    </row>
    <row r="2340" spans="1:7" x14ac:dyDescent="0.15">
      <c r="A2340" s="19" t="s">
        <v>6767</v>
      </c>
      <c r="B2340" s="25" t="s">
        <v>8202</v>
      </c>
      <c r="C2340" s="22"/>
      <c r="D2340" s="26" t="str">
        <f t="shared" si="181"/>
        <v>https://kokusho.nijl.ac.jp/biblio/100232367/321</v>
      </c>
      <c r="E2340" s="22"/>
      <c r="F2340" s="22"/>
      <c r="G2340" s="22"/>
    </row>
    <row r="2341" spans="1:7" x14ac:dyDescent="0.15">
      <c r="A2341" s="19" t="s">
        <v>6767</v>
      </c>
      <c r="B2341" s="25" t="s">
        <v>8203</v>
      </c>
      <c r="C2341" s="22"/>
      <c r="D2341" s="26" t="str">
        <f t="shared" si="181"/>
        <v>https://kokusho.nijl.ac.jp/biblio/100232367/321</v>
      </c>
      <c r="E2341" s="22"/>
      <c r="F2341" s="22"/>
      <c r="G2341" s="22"/>
    </row>
    <row r="2342" spans="1:7" x14ac:dyDescent="0.15">
      <c r="A2342" s="19" t="s">
        <v>6767</v>
      </c>
      <c r="B2342" s="25" t="s">
        <v>8204</v>
      </c>
      <c r="C2342" s="22"/>
      <c r="D2342" s="26" t="str">
        <f t="shared" si="181"/>
        <v>https://kokusho.nijl.ac.jp/biblio/100232367/321</v>
      </c>
      <c r="E2342" s="22"/>
      <c r="F2342" s="22"/>
      <c r="G2342" s="22"/>
    </row>
    <row r="2343" spans="1:7" x14ac:dyDescent="0.15">
      <c r="A2343" s="19" t="s">
        <v>6767</v>
      </c>
      <c r="B2343" s="25" t="s">
        <v>5965</v>
      </c>
      <c r="C2343" s="22"/>
      <c r="D2343" s="26" t="str">
        <f t="shared" si="181"/>
        <v>https://kokusho.nijl.ac.jp/biblio/100232367/321</v>
      </c>
      <c r="E2343" s="22"/>
      <c r="F2343" s="22"/>
      <c r="G2343" s="22"/>
    </row>
    <row r="2344" spans="1:7" x14ac:dyDescent="0.15">
      <c r="A2344" s="19" t="s">
        <v>6767</v>
      </c>
      <c r="B2344" s="25" t="s">
        <v>8205</v>
      </c>
      <c r="C2344" s="22"/>
      <c r="D2344" s="26" t="str">
        <f t="shared" si="181"/>
        <v>https://kokusho.nijl.ac.jp/biblio/100232367/321</v>
      </c>
      <c r="E2344" s="22"/>
      <c r="F2344" s="22"/>
      <c r="G2344" s="22"/>
    </row>
    <row r="2345" spans="1:7" x14ac:dyDescent="0.15">
      <c r="A2345" s="19" t="s">
        <v>6767</v>
      </c>
      <c r="B2345" s="25" t="s">
        <v>8206</v>
      </c>
      <c r="C2345" s="22"/>
      <c r="D2345" s="26" t="str">
        <f t="shared" si="181"/>
        <v>https://kokusho.nijl.ac.jp/biblio/100232367/321</v>
      </c>
      <c r="E2345" s="22"/>
      <c r="F2345" s="22"/>
      <c r="G2345" s="22"/>
    </row>
    <row r="2346" spans="1:7" x14ac:dyDescent="0.15">
      <c r="A2346" s="19" t="s">
        <v>6767</v>
      </c>
      <c r="B2346" s="25" t="s">
        <v>8207</v>
      </c>
      <c r="C2346" s="22"/>
      <c r="D2346" s="26" t="str">
        <f t="shared" si="181"/>
        <v>https://kokusho.nijl.ac.jp/biblio/100232367/321</v>
      </c>
      <c r="E2346" s="22"/>
      <c r="F2346" s="22"/>
      <c r="G2346" s="22"/>
    </row>
    <row r="2347" spans="1:7" x14ac:dyDescent="0.15">
      <c r="A2347" s="19" t="s">
        <v>6767</v>
      </c>
      <c r="B2347" s="25" t="s">
        <v>6036</v>
      </c>
      <c r="C2347" s="22"/>
      <c r="D2347" s="26" t="str">
        <f t="shared" ref="D2347:D2353" si="182">HYPERLINK("https://kokusho.nijl.ac.jp/biblio/100232367/322")</f>
        <v>https://kokusho.nijl.ac.jp/biblio/100232367/322</v>
      </c>
      <c r="E2347" s="22"/>
      <c r="F2347" s="22"/>
      <c r="G2347" s="22"/>
    </row>
    <row r="2348" spans="1:7" x14ac:dyDescent="0.15">
      <c r="A2348" s="19" t="s">
        <v>6767</v>
      </c>
      <c r="B2348" s="25" t="s">
        <v>8208</v>
      </c>
      <c r="C2348" s="22"/>
      <c r="D2348" s="26" t="str">
        <f t="shared" si="182"/>
        <v>https://kokusho.nijl.ac.jp/biblio/100232367/322</v>
      </c>
      <c r="E2348" s="22"/>
      <c r="F2348" s="22"/>
      <c r="G2348" s="22"/>
    </row>
    <row r="2349" spans="1:7" ht="27" x14ac:dyDescent="0.15">
      <c r="A2349" s="19" t="s">
        <v>6767</v>
      </c>
      <c r="B2349" s="25" t="s">
        <v>8209</v>
      </c>
      <c r="C2349" s="22"/>
      <c r="D2349" s="26" t="str">
        <f t="shared" si="182"/>
        <v>https://kokusho.nijl.ac.jp/biblio/100232367/322</v>
      </c>
      <c r="E2349" s="22"/>
      <c r="F2349" s="22"/>
      <c r="G2349" s="22"/>
    </row>
    <row r="2350" spans="1:7" x14ac:dyDescent="0.15">
      <c r="A2350" s="19" t="s">
        <v>6767</v>
      </c>
      <c r="B2350" s="25" t="s">
        <v>8210</v>
      </c>
      <c r="C2350" s="22"/>
      <c r="D2350" s="26" t="str">
        <f t="shared" si="182"/>
        <v>https://kokusho.nijl.ac.jp/biblio/100232367/322</v>
      </c>
      <c r="E2350" s="22"/>
      <c r="F2350" s="22"/>
      <c r="G2350" s="22"/>
    </row>
    <row r="2351" spans="1:7" x14ac:dyDescent="0.15">
      <c r="A2351" s="19" t="s">
        <v>6767</v>
      </c>
      <c r="B2351" s="25" t="s">
        <v>8211</v>
      </c>
      <c r="C2351" s="22"/>
      <c r="D2351" s="26" t="str">
        <f t="shared" si="182"/>
        <v>https://kokusho.nijl.ac.jp/biblio/100232367/322</v>
      </c>
      <c r="E2351" s="22"/>
      <c r="F2351" s="22"/>
      <c r="G2351" s="22"/>
    </row>
    <row r="2352" spans="1:7" x14ac:dyDescent="0.15">
      <c r="A2352" s="19" t="s">
        <v>6767</v>
      </c>
      <c r="B2352" s="25" t="s">
        <v>8212</v>
      </c>
      <c r="C2352" s="22"/>
      <c r="D2352" s="26" t="str">
        <f t="shared" si="182"/>
        <v>https://kokusho.nijl.ac.jp/biblio/100232367/322</v>
      </c>
      <c r="E2352" s="22"/>
      <c r="F2352" s="22"/>
      <c r="G2352" s="22"/>
    </row>
    <row r="2353" spans="1:7" x14ac:dyDescent="0.15">
      <c r="A2353" s="19" t="s">
        <v>6767</v>
      </c>
      <c r="B2353" s="25" t="s">
        <v>6044</v>
      </c>
      <c r="C2353" s="22"/>
      <c r="D2353" s="26" t="str">
        <f t="shared" si="182"/>
        <v>https://kokusho.nijl.ac.jp/biblio/100232367/322</v>
      </c>
      <c r="E2353" s="22"/>
      <c r="F2353" s="22"/>
      <c r="G2353" s="22"/>
    </row>
    <row r="2354" spans="1:7" x14ac:dyDescent="0.15">
      <c r="A2354" s="19" t="s">
        <v>6767</v>
      </c>
      <c r="B2354" s="25" t="s">
        <v>8213</v>
      </c>
      <c r="C2354" s="22"/>
      <c r="D2354" s="26" t="str">
        <f t="shared" ref="D2354:D2360" si="183">HYPERLINK("https://kokusho.nijl.ac.jp/biblio/100232367/323")</f>
        <v>https://kokusho.nijl.ac.jp/biblio/100232367/323</v>
      </c>
      <c r="E2354" s="22"/>
      <c r="F2354" s="22"/>
      <c r="G2354" s="22"/>
    </row>
    <row r="2355" spans="1:7" x14ac:dyDescent="0.15">
      <c r="A2355" s="19" t="s">
        <v>6767</v>
      </c>
      <c r="B2355" s="25" t="s">
        <v>8214</v>
      </c>
      <c r="C2355" s="22"/>
      <c r="D2355" s="26" t="str">
        <f t="shared" si="183"/>
        <v>https://kokusho.nijl.ac.jp/biblio/100232367/323</v>
      </c>
      <c r="E2355" s="22"/>
      <c r="F2355" s="22"/>
      <c r="G2355" s="22"/>
    </row>
    <row r="2356" spans="1:7" x14ac:dyDescent="0.15">
      <c r="A2356" s="19" t="s">
        <v>6767</v>
      </c>
      <c r="B2356" s="25" t="s">
        <v>8215</v>
      </c>
      <c r="C2356" s="22"/>
      <c r="D2356" s="26" t="str">
        <f t="shared" si="183"/>
        <v>https://kokusho.nijl.ac.jp/biblio/100232367/323</v>
      </c>
      <c r="E2356" s="22"/>
      <c r="F2356" s="22"/>
      <c r="G2356" s="22"/>
    </row>
    <row r="2357" spans="1:7" ht="18.75" x14ac:dyDescent="0.15">
      <c r="A2357" s="19" t="s">
        <v>6767</v>
      </c>
      <c r="B2357" s="25" t="s">
        <v>8971</v>
      </c>
      <c r="C2357" s="22"/>
      <c r="D2357" s="26" t="str">
        <f t="shared" si="183"/>
        <v>https://kokusho.nijl.ac.jp/biblio/100232367/323</v>
      </c>
      <c r="E2357" s="22"/>
      <c r="F2357" s="22"/>
      <c r="G2357" s="22"/>
    </row>
    <row r="2358" spans="1:7" x14ac:dyDescent="0.15">
      <c r="A2358" s="19" t="s">
        <v>6767</v>
      </c>
      <c r="B2358" s="25" t="s">
        <v>5969</v>
      </c>
      <c r="C2358" s="22"/>
      <c r="D2358" s="26" t="str">
        <f t="shared" si="183"/>
        <v>https://kokusho.nijl.ac.jp/biblio/100232367/323</v>
      </c>
      <c r="E2358" s="22"/>
      <c r="F2358" s="22"/>
      <c r="G2358" s="22"/>
    </row>
    <row r="2359" spans="1:7" x14ac:dyDescent="0.15">
      <c r="A2359" s="19" t="s">
        <v>6767</v>
      </c>
      <c r="B2359" s="25" t="s">
        <v>8216</v>
      </c>
      <c r="C2359" s="22"/>
      <c r="D2359" s="26" t="str">
        <f t="shared" si="183"/>
        <v>https://kokusho.nijl.ac.jp/biblio/100232367/323</v>
      </c>
      <c r="E2359" s="22"/>
      <c r="F2359" s="22"/>
      <c r="G2359" s="22"/>
    </row>
    <row r="2360" spans="1:7" x14ac:dyDescent="0.15">
      <c r="A2360" s="19" t="s">
        <v>6767</v>
      </c>
      <c r="B2360" s="25" t="s">
        <v>8217</v>
      </c>
      <c r="C2360" s="22"/>
      <c r="D2360" s="26" t="str">
        <f t="shared" si="183"/>
        <v>https://kokusho.nijl.ac.jp/biblio/100232367/323</v>
      </c>
      <c r="E2360" s="22"/>
      <c r="F2360" s="22"/>
      <c r="G2360" s="22"/>
    </row>
    <row r="2361" spans="1:7" x14ac:dyDescent="0.15">
      <c r="A2361" s="19" t="s">
        <v>6767</v>
      </c>
      <c r="B2361" s="25" t="s">
        <v>8218</v>
      </c>
      <c r="C2361" s="22"/>
      <c r="D2361" s="26" t="str">
        <f t="shared" ref="D2361:D2367" si="184">HYPERLINK("https://kokusho.nijl.ac.jp/biblio/100232367/324")</f>
        <v>https://kokusho.nijl.ac.jp/biblio/100232367/324</v>
      </c>
      <c r="E2361" s="22"/>
      <c r="F2361" s="22"/>
      <c r="G2361" s="22"/>
    </row>
    <row r="2362" spans="1:7" x14ac:dyDescent="0.15">
      <c r="A2362" s="19" t="s">
        <v>6767</v>
      </c>
      <c r="B2362" s="25" t="s">
        <v>8219</v>
      </c>
      <c r="C2362" s="22"/>
      <c r="D2362" s="26" t="str">
        <f t="shared" si="184"/>
        <v>https://kokusho.nijl.ac.jp/biblio/100232367/324</v>
      </c>
      <c r="E2362" s="22"/>
      <c r="F2362" s="22"/>
      <c r="G2362" s="22"/>
    </row>
    <row r="2363" spans="1:7" x14ac:dyDescent="0.15">
      <c r="A2363" s="19" t="s">
        <v>6767</v>
      </c>
      <c r="B2363" s="25" t="s">
        <v>8220</v>
      </c>
      <c r="C2363" s="22"/>
      <c r="D2363" s="26" t="str">
        <f t="shared" si="184"/>
        <v>https://kokusho.nijl.ac.jp/biblio/100232367/324</v>
      </c>
      <c r="E2363" s="22"/>
      <c r="F2363" s="22"/>
      <c r="G2363" s="22"/>
    </row>
    <row r="2364" spans="1:7" x14ac:dyDescent="0.15">
      <c r="A2364" s="19" t="s">
        <v>6767</v>
      </c>
      <c r="B2364" s="25" t="s">
        <v>8221</v>
      </c>
      <c r="C2364" s="22"/>
      <c r="D2364" s="26" t="str">
        <f t="shared" si="184"/>
        <v>https://kokusho.nijl.ac.jp/biblio/100232367/324</v>
      </c>
      <c r="E2364" s="22"/>
      <c r="F2364" s="22"/>
      <c r="G2364" s="22"/>
    </row>
    <row r="2365" spans="1:7" x14ac:dyDescent="0.15">
      <c r="A2365" s="19" t="s">
        <v>6767</v>
      </c>
      <c r="B2365" s="25" t="s">
        <v>8222</v>
      </c>
      <c r="C2365" s="22"/>
      <c r="D2365" s="26" t="str">
        <f t="shared" si="184"/>
        <v>https://kokusho.nijl.ac.jp/biblio/100232367/324</v>
      </c>
      <c r="E2365" s="22"/>
      <c r="F2365" s="22"/>
      <c r="G2365" s="22"/>
    </row>
    <row r="2366" spans="1:7" x14ac:dyDescent="0.15">
      <c r="A2366" s="19" t="s">
        <v>6767</v>
      </c>
      <c r="B2366" s="25" t="s">
        <v>8223</v>
      </c>
      <c r="C2366" s="22"/>
      <c r="D2366" s="26" t="str">
        <f t="shared" si="184"/>
        <v>https://kokusho.nijl.ac.jp/biblio/100232367/324</v>
      </c>
      <c r="E2366" s="22"/>
      <c r="F2366" s="22"/>
      <c r="G2366" s="22"/>
    </row>
    <row r="2367" spans="1:7" x14ac:dyDescent="0.15">
      <c r="A2367" s="19" t="s">
        <v>6767</v>
      </c>
      <c r="B2367" s="25" t="s">
        <v>8224</v>
      </c>
      <c r="C2367" s="22"/>
      <c r="D2367" s="26" t="str">
        <f t="shared" si="184"/>
        <v>https://kokusho.nijl.ac.jp/biblio/100232367/324</v>
      </c>
      <c r="E2367" s="22"/>
      <c r="F2367" s="22"/>
      <c r="G2367" s="22"/>
    </row>
    <row r="2368" spans="1:7" x14ac:dyDescent="0.15">
      <c r="A2368" s="19" t="s">
        <v>6767</v>
      </c>
      <c r="B2368" s="25" t="s">
        <v>8225</v>
      </c>
      <c r="C2368" s="22"/>
      <c r="D2368" s="26" t="str">
        <f t="shared" ref="D2368:D2374" si="185">HYPERLINK("https://kokusho.nijl.ac.jp/biblio/100232367/325")</f>
        <v>https://kokusho.nijl.ac.jp/biblio/100232367/325</v>
      </c>
      <c r="E2368" s="22"/>
      <c r="F2368" s="22"/>
      <c r="G2368" s="22"/>
    </row>
    <row r="2369" spans="1:7" x14ac:dyDescent="0.15">
      <c r="A2369" s="19" t="s">
        <v>6767</v>
      </c>
      <c r="B2369" s="25" t="s">
        <v>8226</v>
      </c>
      <c r="C2369" s="22"/>
      <c r="D2369" s="26" t="str">
        <f t="shared" si="185"/>
        <v>https://kokusho.nijl.ac.jp/biblio/100232367/325</v>
      </c>
      <c r="E2369" s="22"/>
      <c r="F2369" s="22"/>
      <c r="G2369" s="22"/>
    </row>
    <row r="2370" spans="1:7" x14ac:dyDescent="0.15">
      <c r="A2370" s="19" t="s">
        <v>6767</v>
      </c>
      <c r="B2370" s="25" t="s">
        <v>8227</v>
      </c>
      <c r="C2370" s="22"/>
      <c r="D2370" s="26" t="str">
        <f t="shared" si="185"/>
        <v>https://kokusho.nijl.ac.jp/biblio/100232367/325</v>
      </c>
      <c r="E2370" s="22"/>
      <c r="F2370" s="22"/>
      <c r="G2370" s="22"/>
    </row>
    <row r="2371" spans="1:7" x14ac:dyDescent="0.15">
      <c r="A2371" s="19" t="s">
        <v>6767</v>
      </c>
      <c r="B2371" s="25" t="s">
        <v>8228</v>
      </c>
      <c r="C2371" s="22"/>
      <c r="D2371" s="26" t="str">
        <f t="shared" si="185"/>
        <v>https://kokusho.nijl.ac.jp/biblio/100232367/325</v>
      </c>
      <c r="E2371" s="22"/>
      <c r="F2371" s="22"/>
      <c r="G2371" s="22"/>
    </row>
    <row r="2372" spans="1:7" x14ac:dyDescent="0.15">
      <c r="A2372" s="19" t="s">
        <v>6767</v>
      </c>
      <c r="B2372" s="25" t="s">
        <v>8229</v>
      </c>
      <c r="C2372" s="22"/>
      <c r="D2372" s="26" t="str">
        <f t="shared" si="185"/>
        <v>https://kokusho.nijl.ac.jp/biblio/100232367/325</v>
      </c>
      <c r="E2372" s="22"/>
      <c r="F2372" s="22"/>
      <c r="G2372" s="22"/>
    </row>
    <row r="2373" spans="1:7" x14ac:dyDescent="0.15">
      <c r="A2373" s="19" t="s">
        <v>6767</v>
      </c>
      <c r="B2373" s="25" t="s">
        <v>8230</v>
      </c>
      <c r="C2373" s="22"/>
      <c r="D2373" s="26" t="str">
        <f t="shared" si="185"/>
        <v>https://kokusho.nijl.ac.jp/biblio/100232367/325</v>
      </c>
      <c r="E2373" s="22"/>
      <c r="F2373" s="22"/>
      <c r="G2373" s="22"/>
    </row>
    <row r="2374" spans="1:7" x14ac:dyDescent="0.15">
      <c r="A2374" s="19" t="s">
        <v>6767</v>
      </c>
      <c r="B2374" s="25" t="s">
        <v>8231</v>
      </c>
      <c r="C2374" s="22"/>
      <c r="D2374" s="26" t="str">
        <f t="shared" si="185"/>
        <v>https://kokusho.nijl.ac.jp/biblio/100232367/325</v>
      </c>
      <c r="E2374" s="22"/>
      <c r="F2374" s="22"/>
      <c r="G2374" s="22"/>
    </row>
    <row r="2375" spans="1:7" x14ac:dyDescent="0.15">
      <c r="A2375" s="19" t="s">
        <v>6767</v>
      </c>
      <c r="B2375" s="25" t="s">
        <v>8232</v>
      </c>
      <c r="C2375" s="22"/>
      <c r="D2375" s="26" t="str">
        <f t="shared" ref="D2375:D2382" si="186">HYPERLINK("https://kokusho.nijl.ac.jp/biblio/100232367/326")</f>
        <v>https://kokusho.nijl.ac.jp/biblio/100232367/326</v>
      </c>
      <c r="E2375" s="22"/>
      <c r="F2375" s="22"/>
      <c r="G2375" s="22"/>
    </row>
    <row r="2376" spans="1:7" ht="27" x14ac:dyDescent="0.15">
      <c r="A2376" s="19" t="s">
        <v>6767</v>
      </c>
      <c r="B2376" s="25" t="s">
        <v>8233</v>
      </c>
      <c r="C2376" s="22"/>
      <c r="D2376" s="26" t="str">
        <f t="shared" si="186"/>
        <v>https://kokusho.nijl.ac.jp/biblio/100232367/326</v>
      </c>
      <c r="E2376" s="22"/>
      <c r="F2376" s="22"/>
      <c r="G2376" s="22"/>
    </row>
    <row r="2377" spans="1:7" x14ac:dyDescent="0.15">
      <c r="A2377" s="19" t="s">
        <v>6767</v>
      </c>
      <c r="B2377" s="25" t="s">
        <v>8234</v>
      </c>
      <c r="C2377" s="22"/>
      <c r="D2377" s="26" t="str">
        <f t="shared" si="186"/>
        <v>https://kokusho.nijl.ac.jp/biblio/100232367/326</v>
      </c>
      <c r="E2377" s="22"/>
      <c r="F2377" s="22"/>
      <c r="G2377" s="22"/>
    </row>
    <row r="2378" spans="1:7" x14ac:dyDescent="0.15">
      <c r="A2378" s="19" t="s">
        <v>6767</v>
      </c>
      <c r="B2378" s="25" t="s">
        <v>8235</v>
      </c>
      <c r="C2378" s="22"/>
      <c r="D2378" s="26" t="str">
        <f t="shared" si="186"/>
        <v>https://kokusho.nijl.ac.jp/biblio/100232367/326</v>
      </c>
      <c r="E2378" s="22"/>
      <c r="F2378" s="22"/>
      <c r="G2378" s="22"/>
    </row>
    <row r="2379" spans="1:7" x14ac:dyDescent="0.15">
      <c r="A2379" s="19" t="s">
        <v>6767</v>
      </c>
      <c r="B2379" s="25" t="s">
        <v>8236</v>
      </c>
      <c r="C2379" s="22"/>
      <c r="D2379" s="26" t="str">
        <f t="shared" si="186"/>
        <v>https://kokusho.nijl.ac.jp/biblio/100232367/326</v>
      </c>
      <c r="E2379" s="22"/>
      <c r="F2379" s="22"/>
      <c r="G2379" s="22"/>
    </row>
    <row r="2380" spans="1:7" x14ac:dyDescent="0.15">
      <c r="A2380" s="19" t="s">
        <v>6767</v>
      </c>
      <c r="B2380" s="25" t="s">
        <v>8237</v>
      </c>
      <c r="C2380" s="22"/>
      <c r="D2380" s="26" t="str">
        <f t="shared" si="186"/>
        <v>https://kokusho.nijl.ac.jp/biblio/100232367/326</v>
      </c>
      <c r="E2380" s="22"/>
      <c r="F2380" s="22"/>
      <c r="G2380" s="22"/>
    </row>
    <row r="2381" spans="1:7" x14ac:dyDescent="0.15">
      <c r="A2381" s="19" t="s">
        <v>6767</v>
      </c>
      <c r="B2381" s="25" t="s">
        <v>8238</v>
      </c>
      <c r="C2381" s="22"/>
      <c r="D2381" s="26" t="str">
        <f t="shared" si="186"/>
        <v>https://kokusho.nijl.ac.jp/biblio/100232367/326</v>
      </c>
      <c r="E2381" s="22"/>
      <c r="F2381" s="22"/>
      <c r="G2381" s="22"/>
    </row>
    <row r="2382" spans="1:7" x14ac:dyDescent="0.15">
      <c r="A2382" s="19" t="s">
        <v>6767</v>
      </c>
      <c r="B2382" s="25" t="s">
        <v>8239</v>
      </c>
      <c r="C2382" s="22"/>
      <c r="D2382" s="26" t="str">
        <f t="shared" si="186"/>
        <v>https://kokusho.nijl.ac.jp/biblio/100232367/326</v>
      </c>
      <c r="E2382" s="22"/>
      <c r="F2382" s="22"/>
      <c r="G2382" s="22"/>
    </row>
    <row r="2383" spans="1:7" x14ac:dyDescent="0.15">
      <c r="A2383" s="19" t="s">
        <v>6767</v>
      </c>
      <c r="B2383" s="25" t="s">
        <v>8240</v>
      </c>
      <c r="C2383" s="22"/>
      <c r="D2383" s="26" t="str">
        <f t="shared" ref="D2383:D2392" si="187">HYPERLINK("https://kokusho.nijl.ac.jp/biblio/100232367/327")</f>
        <v>https://kokusho.nijl.ac.jp/biblio/100232367/327</v>
      </c>
      <c r="E2383" s="22"/>
      <c r="F2383" s="22"/>
      <c r="G2383" s="22"/>
    </row>
    <row r="2384" spans="1:7" x14ac:dyDescent="0.15">
      <c r="A2384" s="19" t="s">
        <v>6767</v>
      </c>
      <c r="B2384" s="25" t="s">
        <v>8241</v>
      </c>
      <c r="C2384" s="22"/>
      <c r="D2384" s="26" t="str">
        <f t="shared" si="187"/>
        <v>https://kokusho.nijl.ac.jp/biblio/100232367/327</v>
      </c>
      <c r="E2384" s="22"/>
      <c r="F2384" s="22"/>
      <c r="G2384" s="22"/>
    </row>
    <row r="2385" spans="1:7" x14ac:dyDescent="0.15">
      <c r="A2385" s="19" t="s">
        <v>6767</v>
      </c>
      <c r="B2385" s="25" t="s">
        <v>8242</v>
      </c>
      <c r="C2385" s="22"/>
      <c r="D2385" s="26" t="str">
        <f t="shared" si="187"/>
        <v>https://kokusho.nijl.ac.jp/biblio/100232367/327</v>
      </c>
      <c r="E2385" s="22"/>
      <c r="F2385" s="22"/>
      <c r="G2385" s="22"/>
    </row>
    <row r="2386" spans="1:7" x14ac:dyDescent="0.15">
      <c r="A2386" s="19" t="s">
        <v>6767</v>
      </c>
      <c r="B2386" s="25" t="s">
        <v>8243</v>
      </c>
      <c r="C2386" s="22"/>
      <c r="D2386" s="26" t="str">
        <f t="shared" si="187"/>
        <v>https://kokusho.nijl.ac.jp/biblio/100232367/327</v>
      </c>
      <c r="E2386" s="22"/>
      <c r="F2386" s="22"/>
      <c r="G2386" s="22"/>
    </row>
    <row r="2387" spans="1:7" x14ac:dyDescent="0.15">
      <c r="A2387" s="19" t="s">
        <v>6767</v>
      </c>
      <c r="B2387" s="25" t="s">
        <v>8244</v>
      </c>
      <c r="C2387" s="22"/>
      <c r="D2387" s="26" t="str">
        <f t="shared" si="187"/>
        <v>https://kokusho.nijl.ac.jp/biblio/100232367/327</v>
      </c>
      <c r="E2387" s="22"/>
      <c r="F2387" s="22"/>
      <c r="G2387" s="22"/>
    </row>
    <row r="2388" spans="1:7" x14ac:dyDescent="0.15">
      <c r="A2388" s="19" t="s">
        <v>6767</v>
      </c>
      <c r="B2388" s="25" t="s">
        <v>8245</v>
      </c>
      <c r="C2388" s="22"/>
      <c r="D2388" s="26" t="str">
        <f t="shared" si="187"/>
        <v>https://kokusho.nijl.ac.jp/biblio/100232367/327</v>
      </c>
      <c r="E2388" s="22"/>
      <c r="F2388" s="22"/>
      <c r="G2388" s="22"/>
    </row>
    <row r="2389" spans="1:7" x14ac:dyDescent="0.15">
      <c r="A2389" s="19" t="s">
        <v>6767</v>
      </c>
      <c r="B2389" s="25" t="s">
        <v>8246</v>
      </c>
      <c r="C2389" s="22"/>
      <c r="D2389" s="26" t="str">
        <f t="shared" si="187"/>
        <v>https://kokusho.nijl.ac.jp/biblio/100232367/327</v>
      </c>
      <c r="E2389" s="22"/>
      <c r="F2389" s="22"/>
      <c r="G2389" s="22"/>
    </row>
    <row r="2390" spans="1:7" x14ac:dyDescent="0.15">
      <c r="A2390" s="19" t="s">
        <v>6767</v>
      </c>
      <c r="B2390" s="25" t="s">
        <v>8247</v>
      </c>
      <c r="C2390" s="22"/>
      <c r="D2390" s="26" t="str">
        <f t="shared" si="187"/>
        <v>https://kokusho.nijl.ac.jp/biblio/100232367/327</v>
      </c>
      <c r="E2390" s="22"/>
      <c r="F2390" s="22"/>
      <c r="G2390" s="22"/>
    </row>
    <row r="2391" spans="1:7" x14ac:dyDescent="0.15">
      <c r="A2391" s="19" t="s">
        <v>6767</v>
      </c>
      <c r="B2391" s="25" t="s">
        <v>8248</v>
      </c>
      <c r="C2391" s="22"/>
      <c r="D2391" s="26" t="str">
        <f t="shared" si="187"/>
        <v>https://kokusho.nijl.ac.jp/biblio/100232367/327</v>
      </c>
      <c r="E2391" s="22"/>
      <c r="F2391" s="22"/>
      <c r="G2391" s="22"/>
    </row>
    <row r="2392" spans="1:7" x14ac:dyDescent="0.15">
      <c r="A2392" s="19" t="s">
        <v>6767</v>
      </c>
      <c r="B2392" s="25" t="s">
        <v>8249</v>
      </c>
      <c r="C2392" s="22"/>
      <c r="D2392" s="26" t="str">
        <f t="shared" si="187"/>
        <v>https://kokusho.nijl.ac.jp/biblio/100232367/327</v>
      </c>
      <c r="E2392" s="22"/>
      <c r="F2392" s="22"/>
      <c r="G2392" s="22"/>
    </row>
    <row r="2393" spans="1:7" x14ac:dyDescent="0.15">
      <c r="A2393" s="19" t="s">
        <v>6767</v>
      </c>
      <c r="B2393" s="25" t="s">
        <v>5992</v>
      </c>
      <c r="C2393" s="22"/>
      <c r="D2393" s="26" t="str">
        <f t="shared" ref="D2393:D2403" si="188">HYPERLINK("https://kokusho.nijl.ac.jp/biblio/100232367/328")</f>
        <v>https://kokusho.nijl.ac.jp/biblio/100232367/328</v>
      </c>
      <c r="E2393" s="22"/>
      <c r="F2393" s="22"/>
      <c r="G2393" s="22"/>
    </row>
    <row r="2394" spans="1:7" x14ac:dyDescent="0.15">
      <c r="A2394" s="19" t="s">
        <v>6767</v>
      </c>
      <c r="B2394" s="25" t="s">
        <v>8250</v>
      </c>
      <c r="C2394" s="22"/>
      <c r="D2394" s="26" t="str">
        <f t="shared" si="188"/>
        <v>https://kokusho.nijl.ac.jp/biblio/100232367/328</v>
      </c>
      <c r="E2394" s="22"/>
      <c r="F2394" s="22"/>
      <c r="G2394" s="22"/>
    </row>
    <row r="2395" spans="1:7" x14ac:dyDescent="0.15">
      <c r="A2395" s="19" t="s">
        <v>6767</v>
      </c>
      <c r="B2395" s="25" t="s">
        <v>8251</v>
      </c>
      <c r="C2395" s="22"/>
      <c r="D2395" s="26" t="str">
        <f t="shared" si="188"/>
        <v>https://kokusho.nijl.ac.jp/biblio/100232367/328</v>
      </c>
      <c r="E2395" s="22"/>
      <c r="F2395" s="22"/>
      <c r="G2395" s="22"/>
    </row>
    <row r="2396" spans="1:7" x14ac:dyDescent="0.15">
      <c r="A2396" s="19" t="s">
        <v>6767</v>
      </c>
      <c r="B2396" s="25" t="s">
        <v>8252</v>
      </c>
      <c r="C2396" s="22"/>
      <c r="D2396" s="26" t="str">
        <f t="shared" si="188"/>
        <v>https://kokusho.nijl.ac.jp/biblio/100232367/328</v>
      </c>
      <c r="E2396" s="22"/>
      <c r="F2396" s="22"/>
      <c r="G2396" s="22"/>
    </row>
    <row r="2397" spans="1:7" x14ac:dyDescent="0.15">
      <c r="A2397" s="19" t="s">
        <v>6767</v>
      </c>
      <c r="B2397" s="25" t="s">
        <v>8253</v>
      </c>
      <c r="C2397" s="22"/>
      <c r="D2397" s="26" t="str">
        <f t="shared" si="188"/>
        <v>https://kokusho.nijl.ac.jp/biblio/100232367/328</v>
      </c>
      <c r="E2397" s="22"/>
      <c r="F2397" s="22"/>
      <c r="G2397" s="22"/>
    </row>
    <row r="2398" spans="1:7" x14ac:dyDescent="0.15">
      <c r="A2398" s="19" t="s">
        <v>6767</v>
      </c>
      <c r="B2398" s="25" t="s">
        <v>8254</v>
      </c>
      <c r="C2398" s="22"/>
      <c r="D2398" s="26" t="str">
        <f t="shared" si="188"/>
        <v>https://kokusho.nijl.ac.jp/biblio/100232367/328</v>
      </c>
      <c r="E2398" s="22"/>
      <c r="F2398" s="22"/>
      <c r="G2398" s="22"/>
    </row>
    <row r="2399" spans="1:7" x14ac:dyDescent="0.15">
      <c r="A2399" s="19" t="s">
        <v>6767</v>
      </c>
      <c r="B2399" s="25" t="s">
        <v>8255</v>
      </c>
      <c r="C2399" s="22"/>
      <c r="D2399" s="26" t="str">
        <f t="shared" si="188"/>
        <v>https://kokusho.nijl.ac.jp/biblio/100232367/328</v>
      </c>
      <c r="E2399" s="22"/>
      <c r="F2399" s="22"/>
      <c r="G2399" s="22"/>
    </row>
    <row r="2400" spans="1:7" x14ac:dyDescent="0.15">
      <c r="A2400" s="19" t="s">
        <v>6767</v>
      </c>
      <c r="B2400" s="25" t="s">
        <v>8256</v>
      </c>
      <c r="C2400" s="22"/>
      <c r="D2400" s="26" t="str">
        <f t="shared" si="188"/>
        <v>https://kokusho.nijl.ac.jp/biblio/100232367/328</v>
      </c>
      <c r="E2400" s="22"/>
      <c r="F2400" s="22"/>
      <c r="G2400" s="22"/>
    </row>
    <row r="2401" spans="1:7" x14ac:dyDescent="0.15">
      <c r="A2401" s="19" t="s">
        <v>6767</v>
      </c>
      <c r="B2401" s="25" t="s">
        <v>8257</v>
      </c>
      <c r="C2401" s="22"/>
      <c r="D2401" s="26" t="str">
        <f t="shared" si="188"/>
        <v>https://kokusho.nijl.ac.jp/biblio/100232367/328</v>
      </c>
      <c r="E2401" s="22"/>
      <c r="F2401" s="22"/>
      <c r="G2401" s="22"/>
    </row>
    <row r="2402" spans="1:7" x14ac:dyDescent="0.15">
      <c r="A2402" s="19" t="s">
        <v>6767</v>
      </c>
      <c r="B2402" s="25" t="s">
        <v>8258</v>
      </c>
      <c r="C2402" s="22"/>
      <c r="D2402" s="26" t="str">
        <f t="shared" si="188"/>
        <v>https://kokusho.nijl.ac.jp/biblio/100232367/328</v>
      </c>
      <c r="E2402" s="22"/>
      <c r="F2402" s="22"/>
      <c r="G2402" s="22"/>
    </row>
    <row r="2403" spans="1:7" x14ac:dyDescent="0.15">
      <c r="A2403" s="19" t="s">
        <v>6767</v>
      </c>
      <c r="B2403" s="25" t="s">
        <v>8259</v>
      </c>
      <c r="C2403" s="22"/>
      <c r="D2403" s="26" t="str">
        <f t="shared" si="188"/>
        <v>https://kokusho.nijl.ac.jp/biblio/100232367/328</v>
      </c>
      <c r="E2403" s="22"/>
      <c r="F2403" s="22"/>
      <c r="G2403" s="22"/>
    </row>
    <row r="2404" spans="1:7" x14ac:dyDescent="0.15">
      <c r="A2404" s="19" t="s">
        <v>6767</v>
      </c>
      <c r="B2404" s="25" t="s">
        <v>8260</v>
      </c>
      <c r="C2404" s="22"/>
      <c r="D2404" s="26" t="str">
        <f t="shared" ref="D2404:D2409" si="189">HYPERLINK("https://kokusho.nijl.ac.jp/biblio/100232367/329")</f>
        <v>https://kokusho.nijl.ac.jp/biblio/100232367/329</v>
      </c>
      <c r="E2404" s="22"/>
      <c r="F2404" s="22"/>
      <c r="G2404" s="22"/>
    </row>
    <row r="2405" spans="1:7" x14ac:dyDescent="0.15">
      <c r="A2405" s="19" t="s">
        <v>6767</v>
      </c>
      <c r="B2405" s="25" t="s">
        <v>8261</v>
      </c>
      <c r="C2405" s="22"/>
      <c r="D2405" s="26" t="str">
        <f t="shared" si="189"/>
        <v>https://kokusho.nijl.ac.jp/biblio/100232367/329</v>
      </c>
      <c r="E2405" s="22"/>
      <c r="F2405" s="22"/>
      <c r="G2405" s="22"/>
    </row>
    <row r="2406" spans="1:7" x14ac:dyDescent="0.15">
      <c r="A2406" s="19" t="s">
        <v>6767</v>
      </c>
      <c r="B2406" s="25" t="s">
        <v>8262</v>
      </c>
      <c r="C2406" s="22"/>
      <c r="D2406" s="26" t="str">
        <f t="shared" si="189"/>
        <v>https://kokusho.nijl.ac.jp/biblio/100232367/329</v>
      </c>
      <c r="E2406" s="22"/>
      <c r="F2406" s="22"/>
      <c r="G2406" s="22"/>
    </row>
    <row r="2407" spans="1:7" x14ac:dyDescent="0.15">
      <c r="A2407" s="19" t="s">
        <v>6767</v>
      </c>
      <c r="B2407" s="25" t="s">
        <v>8263</v>
      </c>
      <c r="C2407" s="22"/>
      <c r="D2407" s="26" t="str">
        <f t="shared" si="189"/>
        <v>https://kokusho.nijl.ac.jp/biblio/100232367/329</v>
      </c>
      <c r="E2407" s="22"/>
      <c r="F2407" s="22"/>
      <c r="G2407" s="22"/>
    </row>
    <row r="2408" spans="1:7" x14ac:dyDescent="0.15">
      <c r="A2408" s="19" t="s">
        <v>6767</v>
      </c>
      <c r="B2408" s="25" t="s">
        <v>8264</v>
      </c>
      <c r="C2408" s="22"/>
      <c r="D2408" s="26" t="str">
        <f t="shared" si="189"/>
        <v>https://kokusho.nijl.ac.jp/biblio/100232367/329</v>
      </c>
      <c r="E2408" s="22"/>
      <c r="F2408" s="22"/>
      <c r="G2408" s="22"/>
    </row>
    <row r="2409" spans="1:7" x14ac:dyDescent="0.15">
      <c r="A2409" s="19" t="s">
        <v>6767</v>
      </c>
      <c r="B2409" s="25" t="s">
        <v>8265</v>
      </c>
      <c r="C2409" s="22"/>
      <c r="D2409" s="26" t="str">
        <f t="shared" si="189"/>
        <v>https://kokusho.nijl.ac.jp/biblio/100232367/329</v>
      </c>
      <c r="E2409" s="22"/>
      <c r="F2409" s="22"/>
      <c r="G2409" s="22"/>
    </row>
    <row r="2410" spans="1:7" x14ac:dyDescent="0.15">
      <c r="A2410" s="19" t="s">
        <v>6767</v>
      </c>
      <c r="B2410" s="25" t="s">
        <v>8266</v>
      </c>
      <c r="C2410" s="22"/>
      <c r="D2410" s="26" t="str">
        <f>HYPERLINK("https://kokusho.nijl.ac.jp/biblio/100232367/330")</f>
        <v>https://kokusho.nijl.ac.jp/biblio/100232367/330</v>
      </c>
      <c r="E2410" s="22"/>
      <c r="F2410" s="22"/>
      <c r="G2410" s="22"/>
    </row>
    <row r="2411" spans="1:7" x14ac:dyDescent="0.15">
      <c r="A2411" s="19" t="s">
        <v>6767</v>
      </c>
      <c r="B2411" s="25" t="s">
        <v>8267</v>
      </c>
      <c r="C2411" s="22"/>
      <c r="D2411" s="26" t="str">
        <f t="shared" ref="D2411:D2419" si="190">HYPERLINK("https://kokusho.nijl.ac.jp/biblio/100232367/332")</f>
        <v>https://kokusho.nijl.ac.jp/biblio/100232367/332</v>
      </c>
      <c r="E2411" s="22"/>
      <c r="F2411" s="22"/>
      <c r="G2411" s="22"/>
    </row>
    <row r="2412" spans="1:7" x14ac:dyDescent="0.15">
      <c r="A2412" s="19" t="s">
        <v>6767</v>
      </c>
      <c r="B2412" s="25" t="s">
        <v>8268</v>
      </c>
      <c r="C2412" s="22"/>
      <c r="D2412" s="26" t="str">
        <f t="shared" si="190"/>
        <v>https://kokusho.nijl.ac.jp/biblio/100232367/332</v>
      </c>
      <c r="E2412" s="22"/>
      <c r="F2412" s="22"/>
      <c r="G2412" s="22"/>
    </row>
    <row r="2413" spans="1:7" x14ac:dyDescent="0.15">
      <c r="A2413" s="19" t="s">
        <v>6767</v>
      </c>
      <c r="B2413" s="25" t="s">
        <v>8269</v>
      </c>
      <c r="C2413" s="22"/>
      <c r="D2413" s="26" t="str">
        <f t="shared" si="190"/>
        <v>https://kokusho.nijl.ac.jp/biblio/100232367/332</v>
      </c>
      <c r="E2413" s="22"/>
      <c r="F2413" s="22"/>
      <c r="G2413" s="22"/>
    </row>
    <row r="2414" spans="1:7" x14ac:dyDescent="0.15">
      <c r="A2414" s="19" t="s">
        <v>6767</v>
      </c>
      <c r="B2414" s="25" t="s">
        <v>8270</v>
      </c>
      <c r="C2414" s="22"/>
      <c r="D2414" s="26" t="str">
        <f t="shared" si="190"/>
        <v>https://kokusho.nijl.ac.jp/biblio/100232367/332</v>
      </c>
      <c r="E2414" s="22"/>
      <c r="F2414" s="22"/>
      <c r="G2414" s="22"/>
    </row>
    <row r="2415" spans="1:7" x14ac:dyDescent="0.15">
      <c r="A2415" s="19" t="s">
        <v>6767</v>
      </c>
      <c r="B2415" s="25" t="s">
        <v>6024</v>
      </c>
      <c r="C2415" s="22"/>
      <c r="D2415" s="26" t="str">
        <f t="shared" si="190"/>
        <v>https://kokusho.nijl.ac.jp/biblio/100232367/332</v>
      </c>
      <c r="E2415" s="22"/>
      <c r="F2415" s="22"/>
      <c r="G2415" s="22"/>
    </row>
    <row r="2416" spans="1:7" x14ac:dyDescent="0.15">
      <c r="A2416" s="19" t="s">
        <v>6767</v>
      </c>
      <c r="B2416" s="25" t="s">
        <v>8271</v>
      </c>
      <c r="C2416" s="22"/>
      <c r="D2416" s="26" t="str">
        <f t="shared" si="190"/>
        <v>https://kokusho.nijl.ac.jp/biblio/100232367/332</v>
      </c>
      <c r="E2416" s="22"/>
      <c r="F2416" s="22"/>
      <c r="G2416" s="22"/>
    </row>
    <row r="2417" spans="1:7" x14ac:dyDescent="0.15">
      <c r="A2417" s="19" t="s">
        <v>6767</v>
      </c>
      <c r="B2417" s="25" t="s">
        <v>8272</v>
      </c>
      <c r="C2417" s="22"/>
      <c r="D2417" s="26" t="str">
        <f t="shared" si="190"/>
        <v>https://kokusho.nijl.ac.jp/biblio/100232367/332</v>
      </c>
      <c r="E2417" s="22"/>
      <c r="F2417" s="22"/>
      <c r="G2417" s="22"/>
    </row>
    <row r="2418" spans="1:7" x14ac:dyDescent="0.15">
      <c r="A2418" s="19" t="s">
        <v>6767</v>
      </c>
      <c r="B2418" s="25" t="s">
        <v>8273</v>
      </c>
      <c r="C2418" s="22"/>
      <c r="D2418" s="26" t="str">
        <f t="shared" si="190"/>
        <v>https://kokusho.nijl.ac.jp/biblio/100232367/332</v>
      </c>
      <c r="E2418" s="22"/>
      <c r="F2418" s="22"/>
      <c r="G2418" s="22"/>
    </row>
    <row r="2419" spans="1:7" x14ac:dyDescent="0.15">
      <c r="A2419" s="19" t="s">
        <v>6767</v>
      </c>
      <c r="B2419" s="25" t="s">
        <v>6012</v>
      </c>
      <c r="C2419" s="22"/>
      <c r="D2419" s="26" t="str">
        <f t="shared" si="190"/>
        <v>https://kokusho.nijl.ac.jp/biblio/100232367/332</v>
      </c>
      <c r="E2419" s="22"/>
      <c r="F2419" s="22"/>
      <c r="G2419" s="22"/>
    </row>
    <row r="2420" spans="1:7" x14ac:dyDescent="0.15">
      <c r="A2420" s="19" t="s">
        <v>6767</v>
      </c>
      <c r="B2420" s="25" t="s">
        <v>8274</v>
      </c>
      <c r="C2420" s="22"/>
      <c r="D2420" s="26" t="str">
        <f>HYPERLINK("https://kokusho.nijl.ac.jp/biblio/100232367/333")</f>
        <v>https://kokusho.nijl.ac.jp/biblio/100232367/333</v>
      </c>
      <c r="E2420" s="22"/>
      <c r="F2420" s="22"/>
      <c r="G2420" s="22"/>
    </row>
    <row r="2421" spans="1:7" x14ac:dyDescent="0.15">
      <c r="A2421" s="19" t="s">
        <v>6767</v>
      </c>
      <c r="B2421" s="25" t="s">
        <v>8275</v>
      </c>
      <c r="C2421" s="22"/>
      <c r="D2421" s="26" t="str">
        <f>HYPERLINK("https://kokusho.nijl.ac.jp/biblio/100232367/333")</f>
        <v>https://kokusho.nijl.ac.jp/biblio/100232367/333</v>
      </c>
      <c r="E2421" s="22"/>
      <c r="F2421" s="22"/>
      <c r="G2421" s="22"/>
    </row>
    <row r="2422" spans="1:7" x14ac:dyDescent="0.15">
      <c r="A2422" s="19" t="s">
        <v>6767</v>
      </c>
      <c r="B2422" s="25" t="s">
        <v>8276</v>
      </c>
      <c r="C2422" s="22"/>
      <c r="D2422" s="26" t="str">
        <f>HYPERLINK("https://kokusho.nijl.ac.jp/biblio/100232367/333")</f>
        <v>https://kokusho.nijl.ac.jp/biblio/100232367/333</v>
      </c>
      <c r="E2422" s="22"/>
      <c r="F2422" s="22"/>
      <c r="G2422" s="22"/>
    </row>
    <row r="2423" spans="1:7" x14ac:dyDescent="0.15">
      <c r="A2423" s="19" t="s">
        <v>6767</v>
      </c>
      <c r="B2423" s="25" t="s">
        <v>8277</v>
      </c>
      <c r="C2423" s="22"/>
      <c r="D2423" s="26" t="str">
        <f t="shared" ref="D2423:D2429" si="191">HYPERLINK("https://kokusho.nijl.ac.jp/biblio/100232367/334")</f>
        <v>https://kokusho.nijl.ac.jp/biblio/100232367/334</v>
      </c>
      <c r="E2423" s="22"/>
      <c r="F2423" s="22"/>
      <c r="G2423" s="22"/>
    </row>
    <row r="2424" spans="1:7" ht="27" x14ac:dyDescent="0.15">
      <c r="A2424" s="19" t="s">
        <v>6767</v>
      </c>
      <c r="B2424" s="25" t="s">
        <v>8278</v>
      </c>
      <c r="C2424" s="22"/>
      <c r="D2424" s="26" t="str">
        <f t="shared" si="191"/>
        <v>https://kokusho.nijl.ac.jp/biblio/100232367/334</v>
      </c>
      <c r="E2424" s="22"/>
      <c r="F2424" s="22"/>
      <c r="G2424" s="22"/>
    </row>
    <row r="2425" spans="1:7" x14ac:dyDescent="0.15">
      <c r="A2425" s="19" t="s">
        <v>6767</v>
      </c>
      <c r="B2425" s="25" t="s">
        <v>8279</v>
      </c>
      <c r="C2425" s="22"/>
      <c r="D2425" s="26" t="str">
        <f t="shared" si="191"/>
        <v>https://kokusho.nijl.ac.jp/biblio/100232367/334</v>
      </c>
      <c r="E2425" s="22"/>
      <c r="F2425" s="22"/>
      <c r="G2425" s="22"/>
    </row>
    <row r="2426" spans="1:7" x14ac:dyDescent="0.15">
      <c r="A2426" s="19" t="s">
        <v>6767</v>
      </c>
      <c r="B2426" s="25" t="s">
        <v>8280</v>
      </c>
      <c r="C2426" s="22"/>
      <c r="D2426" s="26" t="str">
        <f t="shared" si="191"/>
        <v>https://kokusho.nijl.ac.jp/biblio/100232367/334</v>
      </c>
      <c r="E2426" s="22"/>
      <c r="F2426" s="22"/>
      <c r="G2426" s="22"/>
    </row>
    <row r="2427" spans="1:7" x14ac:dyDescent="0.15">
      <c r="A2427" s="19" t="s">
        <v>6767</v>
      </c>
      <c r="B2427" s="25" t="s">
        <v>8281</v>
      </c>
      <c r="C2427" s="22"/>
      <c r="D2427" s="26" t="str">
        <f t="shared" si="191"/>
        <v>https://kokusho.nijl.ac.jp/biblio/100232367/334</v>
      </c>
      <c r="E2427" s="22"/>
      <c r="F2427" s="22"/>
      <c r="G2427" s="22"/>
    </row>
    <row r="2428" spans="1:7" x14ac:dyDescent="0.15">
      <c r="A2428" s="19" t="s">
        <v>6767</v>
      </c>
      <c r="B2428" s="25" t="s">
        <v>8282</v>
      </c>
      <c r="C2428" s="22"/>
      <c r="D2428" s="26" t="str">
        <f t="shared" si="191"/>
        <v>https://kokusho.nijl.ac.jp/biblio/100232367/334</v>
      </c>
      <c r="E2428" s="22"/>
      <c r="F2428" s="22"/>
      <c r="G2428" s="22"/>
    </row>
    <row r="2429" spans="1:7" x14ac:dyDescent="0.15">
      <c r="A2429" s="19" t="s">
        <v>6767</v>
      </c>
      <c r="B2429" s="25" t="s">
        <v>8283</v>
      </c>
      <c r="C2429" s="22"/>
      <c r="D2429" s="26" t="str">
        <f t="shared" si="191"/>
        <v>https://kokusho.nijl.ac.jp/biblio/100232367/334</v>
      </c>
      <c r="E2429" s="22"/>
      <c r="F2429" s="22"/>
      <c r="G2429" s="22"/>
    </row>
    <row r="2430" spans="1:7" x14ac:dyDescent="0.15">
      <c r="A2430" s="19" t="s">
        <v>6767</v>
      </c>
      <c r="B2430" s="25" t="s">
        <v>8284</v>
      </c>
      <c r="C2430" s="22"/>
      <c r="D2430" s="26" t="str">
        <f>HYPERLINK("https://kokusho.nijl.ac.jp/biblio/100232367/335")</f>
        <v>https://kokusho.nijl.ac.jp/biblio/100232367/335</v>
      </c>
      <c r="E2430" s="22"/>
      <c r="F2430" s="22"/>
      <c r="G2430" s="22"/>
    </row>
    <row r="2431" spans="1:7" x14ac:dyDescent="0.15">
      <c r="A2431" s="19" t="s">
        <v>6767</v>
      </c>
      <c r="B2431" s="25" t="s">
        <v>8285</v>
      </c>
      <c r="C2431" s="22"/>
      <c r="D2431" s="26" t="str">
        <f>HYPERLINK("https://kokusho.nijl.ac.jp/biblio/100232367/335")</f>
        <v>https://kokusho.nijl.ac.jp/biblio/100232367/335</v>
      </c>
      <c r="E2431" s="22"/>
      <c r="F2431" s="22"/>
      <c r="G2431" s="22"/>
    </row>
    <row r="2432" spans="1:7" x14ac:dyDescent="0.15">
      <c r="A2432" s="19" t="s">
        <v>6767</v>
      </c>
      <c r="B2432" s="25" t="s">
        <v>8286</v>
      </c>
      <c r="C2432" s="22"/>
      <c r="D2432" s="26" t="str">
        <f t="shared" ref="D2432:D2438" si="192">HYPERLINK("https://kokusho.nijl.ac.jp/biblio/100232367/336")</f>
        <v>https://kokusho.nijl.ac.jp/biblio/100232367/336</v>
      </c>
      <c r="E2432" s="22"/>
      <c r="F2432" s="22"/>
      <c r="G2432" s="22"/>
    </row>
    <row r="2433" spans="1:7" x14ac:dyDescent="0.15">
      <c r="A2433" s="19" t="s">
        <v>6767</v>
      </c>
      <c r="B2433" s="25" t="s">
        <v>8287</v>
      </c>
      <c r="C2433" s="22"/>
      <c r="D2433" s="26" t="str">
        <f t="shared" si="192"/>
        <v>https://kokusho.nijl.ac.jp/biblio/100232367/336</v>
      </c>
      <c r="E2433" s="22"/>
      <c r="F2433" s="22"/>
      <c r="G2433" s="22"/>
    </row>
    <row r="2434" spans="1:7" x14ac:dyDescent="0.15">
      <c r="A2434" s="19" t="s">
        <v>6767</v>
      </c>
      <c r="B2434" s="25" t="s">
        <v>8288</v>
      </c>
      <c r="C2434" s="22"/>
      <c r="D2434" s="26" t="str">
        <f t="shared" si="192"/>
        <v>https://kokusho.nijl.ac.jp/biblio/100232367/336</v>
      </c>
      <c r="E2434" s="22"/>
      <c r="F2434" s="22"/>
      <c r="G2434" s="22"/>
    </row>
    <row r="2435" spans="1:7" x14ac:dyDescent="0.15">
      <c r="A2435" s="19" t="s">
        <v>6767</v>
      </c>
      <c r="B2435" s="25" t="s">
        <v>8289</v>
      </c>
      <c r="C2435" s="22"/>
      <c r="D2435" s="26" t="str">
        <f t="shared" si="192"/>
        <v>https://kokusho.nijl.ac.jp/biblio/100232367/336</v>
      </c>
      <c r="E2435" s="22"/>
      <c r="F2435" s="22"/>
      <c r="G2435" s="22"/>
    </row>
    <row r="2436" spans="1:7" x14ac:dyDescent="0.15">
      <c r="A2436" s="19" t="s">
        <v>6767</v>
      </c>
      <c r="B2436" s="25" t="s">
        <v>8290</v>
      </c>
      <c r="C2436" s="22"/>
      <c r="D2436" s="26" t="str">
        <f t="shared" si="192"/>
        <v>https://kokusho.nijl.ac.jp/biblio/100232367/336</v>
      </c>
      <c r="E2436" s="22"/>
      <c r="F2436" s="22"/>
      <c r="G2436" s="22"/>
    </row>
    <row r="2437" spans="1:7" x14ac:dyDescent="0.15">
      <c r="A2437" s="19" t="s">
        <v>6767</v>
      </c>
      <c r="B2437" s="25" t="s">
        <v>8291</v>
      </c>
      <c r="C2437" s="22"/>
      <c r="D2437" s="26" t="str">
        <f t="shared" si="192"/>
        <v>https://kokusho.nijl.ac.jp/biblio/100232367/336</v>
      </c>
      <c r="E2437" s="22"/>
      <c r="F2437" s="22"/>
      <c r="G2437" s="22"/>
    </row>
    <row r="2438" spans="1:7" x14ac:dyDescent="0.15">
      <c r="A2438" s="19" t="s">
        <v>6767</v>
      </c>
      <c r="B2438" s="25" t="s">
        <v>8292</v>
      </c>
      <c r="C2438" s="22"/>
      <c r="D2438" s="26" t="str">
        <f t="shared" si="192"/>
        <v>https://kokusho.nijl.ac.jp/biblio/100232367/336</v>
      </c>
      <c r="E2438" s="22"/>
      <c r="F2438" s="22"/>
      <c r="G2438" s="22"/>
    </row>
    <row r="2439" spans="1:7" x14ac:dyDescent="0.15">
      <c r="A2439" s="19" t="s">
        <v>6767</v>
      </c>
      <c r="B2439" s="25" t="s">
        <v>8293</v>
      </c>
      <c r="C2439" s="22"/>
      <c r="D2439" s="26" t="str">
        <f t="shared" ref="D2439:D2444" si="193">HYPERLINK("https://kokusho.nijl.ac.jp/biblio/100232367/337")</f>
        <v>https://kokusho.nijl.ac.jp/biblio/100232367/337</v>
      </c>
      <c r="E2439" s="22"/>
      <c r="F2439" s="22"/>
      <c r="G2439" s="22"/>
    </row>
    <row r="2440" spans="1:7" x14ac:dyDescent="0.15">
      <c r="A2440" s="19" t="s">
        <v>6767</v>
      </c>
      <c r="B2440" s="25" t="s">
        <v>8294</v>
      </c>
      <c r="C2440" s="22"/>
      <c r="D2440" s="26" t="str">
        <f t="shared" si="193"/>
        <v>https://kokusho.nijl.ac.jp/biblio/100232367/337</v>
      </c>
      <c r="E2440" s="22"/>
      <c r="F2440" s="22"/>
      <c r="G2440" s="22"/>
    </row>
    <row r="2441" spans="1:7" x14ac:dyDescent="0.15">
      <c r="A2441" s="19" t="s">
        <v>6767</v>
      </c>
      <c r="B2441" s="25" t="s">
        <v>8295</v>
      </c>
      <c r="C2441" s="22"/>
      <c r="D2441" s="26" t="str">
        <f t="shared" si="193"/>
        <v>https://kokusho.nijl.ac.jp/biblio/100232367/337</v>
      </c>
      <c r="E2441" s="22"/>
      <c r="F2441" s="22"/>
      <c r="G2441" s="22"/>
    </row>
    <row r="2442" spans="1:7" x14ac:dyDescent="0.15">
      <c r="A2442" s="19" t="s">
        <v>6767</v>
      </c>
      <c r="B2442" s="25" t="s">
        <v>8296</v>
      </c>
      <c r="C2442" s="22"/>
      <c r="D2442" s="26" t="str">
        <f t="shared" si="193"/>
        <v>https://kokusho.nijl.ac.jp/biblio/100232367/337</v>
      </c>
      <c r="E2442" s="22"/>
      <c r="F2442" s="22"/>
      <c r="G2442" s="22"/>
    </row>
    <row r="2443" spans="1:7" x14ac:dyDescent="0.15">
      <c r="A2443" s="19" t="s">
        <v>6767</v>
      </c>
      <c r="B2443" s="25" t="s">
        <v>8297</v>
      </c>
      <c r="C2443" s="22"/>
      <c r="D2443" s="26" t="str">
        <f t="shared" si="193"/>
        <v>https://kokusho.nijl.ac.jp/biblio/100232367/337</v>
      </c>
      <c r="E2443" s="22"/>
      <c r="F2443" s="22"/>
      <c r="G2443" s="22"/>
    </row>
    <row r="2444" spans="1:7" x14ac:dyDescent="0.15">
      <c r="A2444" s="19" t="s">
        <v>6767</v>
      </c>
      <c r="B2444" s="25" t="s">
        <v>8298</v>
      </c>
      <c r="C2444" s="22"/>
      <c r="D2444" s="26" t="str">
        <f t="shared" si="193"/>
        <v>https://kokusho.nijl.ac.jp/biblio/100232367/337</v>
      </c>
      <c r="E2444" s="22"/>
      <c r="F2444" s="22"/>
      <c r="G2444" s="22"/>
    </row>
    <row r="2445" spans="1:7" x14ac:dyDescent="0.15">
      <c r="A2445" s="19" t="s">
        <v>6767</v>
      </c>
      <c r="B2445" s="25" t="s">
        <v>6075</v>
      </c>
      <c r="C2445" s="22"/>
      <c r="D2445" s="26" t="str">
        <f t="shared" ref="D2445:D2452" si="194">HYPERLINK("https://kokusho.nijl.ac.jp/biblio/100232367/338")</f>
        <v>https://kokusho.nijl.ac.jp/biblio/100232367/338</v>
      </c>
      <c r="E2445" s="22"/>
      <c r="F2445" s="22"/>
      <c r="G2445" s="22"/>
    </row>
    <row r="2446" spans="1:7" x14ac:dyDescent="0.15">
      <c r="A2446" s="19" t="s">
        <v>6767</v>
      </c>
      <c r="B2446" s="25" t="s">
        <v>8299</v>
      </c>
      <c r="C2446" s="22"/>
      <c r="D2446" s="26" t="str">
        <f t="shared" si="194"/>
        <v>https://kokusho.nijl.ac.jp/biblio/100232367/338</v>
      </c>
      <c r="E2446" s="22"/>
      <c r="F2446" s="22"/>
      <c r="G2446" s="22"/>
    </row>
    <row r="2447" spans="1:7" x14ac:dyDescent="0.15">
      <c r="A2447" s="19" t="s">
        <v>6767</v>
      </c>
      <c r="B2447" s="25" t="s">
        <v>8300</v>
      </c>
      <c r="C2447" s="22"/>
      <c r="D2447" s="26" t="str">
        <f t="shared" si="194"/>
        <v>https://kokusho.nijl.ac.jp/biblio/100232367/338</v>
      </c>
      <c r="E2447" s="22"/>
      <c r="F2447" s="22"/>
      <c r="G2447" s="22"/>
    </row>
    <row r="2448" spans="1:7" x14ac:dyDescent="0.15">
      <c r="A2448" s="19" t="s">
        <v>6767</v>
      </c>
      <c r="B2448" s="25" t="s">
        <v>8301</v>
      </c>
      <c r="C2448" s="22"/>
      <c r="D2448" s="26" t="str">
        <f t="shared" si="194"/>
        <v>https://kokusho.nijl.ac.jp/biblio/100232367/338</v>
      </c>
      <c r="E2448" s="22"/>
      <c r="F2448" s="22"/>
      <c r="G2448" s="22"/>
    </row>
    <row r="2449" spans="1:7" x14ac:dyDescent="0.15">
      <c r="A2449" s="19" t="s">
        <v>6767</v>
      </c>
      <c r="B2449" s="25" t="s">
        <v>8302</v>
      </c>
      <c r="C2449" s="22"/>
      <c r="D2449" s="26" t="str">
        <f t="shared" si="194"/>
        <v>https://kokusho.nijl.ac.jp/biblio/100232367/338</v>
      </c>
      <c r="E2449" s="22"/>
      <c r="F2449" s="22"/>
      <c r="G2449" s="22"/>
    </row>
    <row r="2450" spans="1:7" x14ac:dyDescent="0.15">
      <c r="A2450" s="19" t="s">
        <v>6767</v>
      </c>
      <c r="B2450" s="25" t="s">
        <v>8303</v>
      </c>
      <c r="C2450" s="22"/>
      <c r="D2450" s="26" t="str">
        <f t="shared" si="194"/>
        <v>https://kokusho.nijl.ac.jp/biblio/100232367/338</v>
      </c>
      <c r="E2450" s="22"/>
      <c r="F2450" s="22"/>
      <c r="G2450" s="22"/>
    </row>
    <row r="2451" spans="1:7" x14ac:dyDescent="0.15">
      <c r="A2451" s="19" t="s">
        <v>6767</v>
      </c>
      <c r="B2451" s="25" t="s">
        <v>8304</v>
      </c>
      <c r="C2451" s="22"/>
      <c r="D2451" s="26" t="str">
        <f t="shared" si="194"/>
        <v>https://kokusho.nijl.ac.jp/biblio/100232367/338</v>
      </c>
      <c r="E2451" s="22"/>
      <c r="F2451" s="22"/>
      <c r="G2451" s="22"/>
    </row>
    <row r="2452" spans="1:7" x14ac:dyDescent="0.15">
      <c r="A2452" s="19" t="s">
        <v>6767</v>
      </c>
      <c r="B2452" s="25" t="s">
        <v>8305</v>
      </c>
      <c r="C2452" s="22"/>
      <c r="D2452" s="26" t="str">
        <f t="shared" si="194"/>
        <v>https://kokusho.nijl.ac.jp/biblio/100232367/338</v>
      </c>
      <c r="E2452" s="22"/>
      <c r="F2452" s="22"/>
      <c r="G2452" s="22"/>
    </row>
    <row r="2453" spans="1:7" x14ac:dyDescent="0.15">
      <c r="A2453" s="19" t="s">
        <v>6767</v>
      </c>
      <c r="B2453" s="25" t="s">
        <v>8306</v>
      </c>
      <c r="C2453" s="22"/>
      <c r="D2453" s="26" t="str">
        <f t="shared" ref="D2453:D2459" si="195">HYPERLINK("https://kokusho.nijl.ac.jp/biblio/100232367/339")</f>
        <v>https://kokusho.nijl.ac.jp/biblio/100232367/339</v>
      </c>
      <c r="E2453" s="22"/>
      <c r="F2453" s="22"/>
      <c r="G2453" s="22"/>
    </row>
    <row r="2454" spans="1:7" x14ac:dyDescent="0.15">
      <c r="A2454" s="19" t="s">
        <v>6767</v>
      </c>
      <c r="B2454" s="25" t="s">
        <v>8307</v>
      </c>
      <c r="C2454" s="22"/>
      <c r="D2454" s="26" t="str">
        <f t="shared" si="195"/>
        <v>https://kokusho.nijl.ac.jp/biblio/100232367/339</v>
      </c>
      <c r="E2454" s="22"/>
      <c r="F2454" s="22"/>
      <c r="G2454" s="22"/>
    </row>
    <row r="2455" spans="1:7" x14ac:dyDescent="0.15">
      <c r="A2455" s="19" t="s">
        <v>6767</v>
      </c>
      <c r="B2455" s="25" t="s">
        <v>8308</v>
      </c>
      <c r="C2455" s="22"/>
      <c r="D2455" s="26" t="str">
        <f t="shared" si="195"/>
        <v>https://kokusho.nijl.ac.jp/biblio/100232367/339</v>
      </c>
      <c r="E2455" s="22"/>
      <c r="F2455" s="22"/>
      <c r="G2455" s="22"/>
    </row>
    <row r="2456" spans="1:7" x14ac:dyDescent="0.15">
      <c r="A2456" s="19" t="s">
        <v>6767</v>
      </c>
      <c r="B2456" s="25" t="s">
        <v>8309</v>
      </c>
      <c r="C2456" s="22"/>
      <c r="D2456" s="26" t="str">
        <f t="shared" si="195"/>
        <v>https://kokusho.nijl.ac.jp/biblio/100232367/339</v>
      </c>
      <c r="E2456" s="22"/>
      <c r="F2456" s="22"/>
      <c r="G2456" s="22"/>
    </row>
    <row r="2457" spans="1:7" x14ac:dyDescent="0.15">
      <c r="A2457" s="19" t="s">
        <v>6767</v>
      </c>
      <c r="B2457" s="25" t="s">
        <v>8310</v>
      </c>
      <c r="C2457" s="22"/>
      <c r="D2457" s="26" t="str">
        <f t="shared" si="195"/>
        <v>https://kokusho.nijl.ac.jp/biblio/100232367/339</v>
      </c>
      <c r="E2457" s="22"/>
      <c r="F2457" s="22"/>
      <c r="G2457" s="22"/>
    </row>
    <row r="2458" spans="1:7" x14ac:dyDescent="0.15">
      <c r="A2458" s="19" t="s">
        <v>6767</v>
      </c>
      <c r="B2458" s="25" t="s">
        <v>8311</v>
      </c>
      <c r="C2458" s="22"/>
      <c r="D2458" s="26" t="str">
        <f t="shared" si="195"/>
        <v>https://kokusho.nijl.ac.jp/biblio/100232367/339</v>
      </c>
      <c r="E2458" s="22"/>
      <c r="F2458" s="22"/>
      <c r="G2458" s="22"/>
    </row>
    <row r="2459" spans="1:7" x14ac:dyDescent="0.15">
      <c r="A2459" s="19" t="s">
        <v>6767</v>
      </c>
      <c r="B2459" s="25" t="s">
        <v>8312</v>
      </c>
      <c r="C2459" s="22"/>
      <c r="D2459" s="26" t="str">
        <f t="shared" si="195"/>
        <v>https://kokusho.nijl.ac.jp/biblio/100232367/339</v>
      </c>
      <c r="E2459" s="22"/>
      <c r="F2459" s="22"/>
      <c r="G2459" s="22"/>
    </row>
    <row r="2460" spans="1:7" x14ac:dyDescent="0.15">
      <c r="A2460" s="19" t="s">
        <v>6767</v>
      </c>
      <c r="B2460" s="25" t="s">
        <v>8313</v>
      </c>
      <c r="C2460" s="22"/>
      <c r="D2460" s="26" t="str">
        <f t="shared" ref="D2460:D2469" si="196">HYPERLINK("https://kokusho.nijl.ac.jp/biblio/100232367/340")</f>
        <v>https://kokusho.nijl.ac.jp/biblio/100232367/340</v>
      </c>
      <c r="E2460" s="22"/>
      <c r="F2460" s="22"/>
      <c r="G2460" s="22"/>
    </row>
    <row r="2461" spans="1:7" x14ac:dyDescent="0.15">
      <c r="A2461" s="19" t="s">
        <v>6767</v>
      </c>
      <c r="B2461" s="25" t="s">
        <v>8314</v>
      </c>
      <c r="C2461" s="22"/>
      <c r="D2461" s="26" t="str">
        <f t="shared" si="196"/>
        <v>https://kokusho.nijl.ac.jp/biblio/100232367/340</v>
      </c>
      <c r="E2461" s="22"/>
      <c r="F2461" s="22"/>
      <c r="G2461" s="22"/>
    </row>
    <row r="2462" spans="1:7" x14ac:dyDescent="0.15">
      <c r="A2462" s="19" t="s">
        <v>6767</v>
      </c>
      <c r="B2462" s="25" t="s">
        <v>8315</v>
      </c>
      <c r="C2462" s="22"/>
      <c r="D2462" s="26" t="str">
        <f t="shared" si="196"/>
        <v>https://kokusho.nijl.ac.jp/biblio/100232367/340</v>
      </c>
      <c r="E2462" s="22"/>
      <c r="F2462" s="22"/>
      <c r="G2462" s="22"/>
    </row>
    <row r="2463" spans="1:7" x14ac:dyDescent="0.15">
      <c r="A2463" s="19" t="s">
        <v>6767</v>
      </c>
      <c r="B2463" s="25" t="s">
        <v>8316</v>
      </c>
      <c r="C2463" s="22"/>
      <c r="D2463" s="26" t="str">
        <f t="shared" si="196"/>
        <v>https://kokusho.nijl.ac.jp/biblio/100232367/340</v>
      </c>
      <c r="E2463" s="22"/>
      <c r="F2463" s="22"/>
      <c r="G2463" s="22"/>
    </row>
    <row r="2464" spans="1:7" x14ac:dyDescent="0.15">
      <c r="A2464" s="19" t="s">
        <v>6767</v>
      </c>
      <c r="B2464" s="25" t="s">
        <v>5973</v>
      </c>
      <c r="C2464" s="22"/>
      <c r="D2464" s="26" t="str">
        <f t="shared" si="196"/>
        <v>https://kokusho.nijl.ac.jp/biblio/100232367/340</v>
      </c>
      <c r="E2464" s="22"/>
      <c r="F2464" s="22"/>
      <c r="G2464" s="22"/>
    </row>
    <row r="2465" spans="1:7" x14ac:dyDescent="0.15">
      <c r="A2465" s="19" t="s">
        <v>6767</v>
      </c>
      <c r="B2465" s="25" t="s">
        <v>8317</v>
      </c>
      <c r="C2465" s="22"/>
      <c r="D2465" s="26" t="str">
        <f t="shared" si="196"/>
        <v>https://kokusho.nijl.ac.jp/biblio/100232367/340</v>
      </c>
      <c r="E2465" s="22"/>
      <c r="F2465" s="22"/>
      <c r="G2465" s="22"/>
    </row>
    <row r="2466" spans="1:7" x14ac:dyDescent="0.15">
      <c r="A2466" s="19" t="s">
        <v>6767</v>
      </c>
      <c r="B2466" s="25" t="s">
        <v>8318</v>
      </c>
      <c r="C2466" s="22"/>
      <c r="D2466" s="26" t="str">
        <f t="shared" si="196"/>
        <v>https://kokusho.nijl.ac.jp/biblio/100232367/340</v>
      </c>
      <c r="E2466" s="22"/>
      <c r="F2466" s="22"/>
      <c r="G2466" s="22"/>
    </row>
    <row r="2467" spans="1:7" ht="18.75" x14ac:dyDescent="0.15">
      <c r="A2467" s="19" t="s">
        <v>6767</v>
      </c>
      <c r="B2467" s="25" t="s">
        <v>8972</v>
      </c>
      <c r="C2467" s="22"/>
      <c r="D2467" s="26" t="str">
        <f t="shared" si="196"/>
        <v>https://kokusho.nijl.ac.jp/biblio/100232367/340</v>
      </c>
      <c r="E2467" s="22"/>
      <c r="F2467" s="22"/>
      <c r="G2467" s="22"/>
    </row>
    <row r="2468" spans="1:7" x14ac:dyDescent="0.15">
      <c r="A2468" s="19" t="s">
        <v>6767</v>
      </c>
      <c r="B2468" s="25" t="s">
        <v>8319</v>
      </c>
      <c r="C2468" s="22"/>
      <c r="D2468" s="26" t="str">
        <f t="shared" si="196"/>
        <v>https://kokusho.nijl.ac.jp/biblio/100232367/340</v>
      </c>
      <c r="E2468" s="22"/>
      <c r="F2468" s="22"/>
      <c r="G2468" s="22"/>
    </row>
    <row r="2469" spans="1:7" x14ac:dyDescent="0.15">
      <c r="A2469" s="19" t="s">
        <v>6767</v>
      </c>
      <c r="B2469" s="25" t="s">
        <v>8320</v>
      </c>
      <c r="C2469" s="22"/>
      <c r="D2469" s="26" t="str">
        <f t="shared" si="196"/>
        <v>https://kokusho.nijl.ac.jp/biblio/100232367/340</v>
      </c>
      <c r="E2469" s="22"/>
      <c r="F2469" s="22"/>
      <c r="G2469" s="22"/>
    </row>
    <row r="2470" spans="1:7" x14ac:dyDescent="0.15">
      <c r="A2470" s="19" t="s">
        <v>6767</v>
      </c>
      <c r="B2470" s="25" t="s">
        <v>8321</v>
      </c>
      <c r="C2470" s="22"/>
      <c r="D2470" s="26" t="str">
        <f t="shared" ref="D2470:D2477" si="197">HYPERLINK("https://kokusho.nijl.ac.jp/biblio/100232367/341")</f>
        <v>https://kokusho.nijl.ac.jp/biblio/100232367/341</v>
      </c>
      <c r="E2470" s="22"/>
      <c r="F2470" s="22"/>
      <c r="G2470" s="22"/>
    </row>
    <row r="2471" spans="1:7" x14ac:dyDescent="0.15">
      <c r="A2471" s="19" t="s">
        <v>6767</v>
      </c>
      <c r="B2471" s="25" t="s">
        <v>8322</v>
      </c>
      <c r="C2471" s="22"/>
      <c r="D2471" s="26" t="str">
        <f t="shared" si="197"/>
        <v>https://kokusho.nijl.ac.jp/biblio/100232367/341</v>
      </c>
      <c r="E2471" s="22"/>
      <c r="F2471" s="22"/>
      <c r="G2471" s="22"/>
    </row>
    <row r="2472" spans="1:7" x14ac:dyDescent="0.15">
      <c r="A2472" s="19" t="s">
        <v>6767</v>
      </c>
      <c r="B2472" s="25" t="s">
        <v>8323</v>
      </c>
      <c r="C2472" s="22"/>
      <c r="D2472" s="26" t="str">
        <f t="shared" si="197"/>
        <v>https://kokusho.nijl.ac.jp/biblio/100232367/341</v>
      </c>
      <c r="E2472" s="22"/>
      <c r="F2472" s="22"/>
      <c r="G2472" s="22"/>
    </row>
    <row r="2473" spans="1:7" x14ac:dyDescent="0.15">
      <c r="A2473" s="19" t="s">
        <v>6767</v>
      </c>
      <c r="B2473" s="25" t="s">
        <v>8324</v>
      </c>
      <c r="C2473" s="22"/>
      <c r="D2473" s="26" t="str">
        <f t="shared" si="197"/>
        <v>https://kokusho.nijl.ac.jp/biblio/100232367/341</v>
      </c>
      <c r="E2473" s="22"/>
      <c r="F2473" s="22"/>
      <c r="G2473" s="22"/>
    </row>
    <row r="2474" spans="1:7" x14ac:dyDescent="0.15">
      <c r="A2474" s="19" t="s">
        <v>6767</v>
      </c>
      <c r="B2474" s="25" t="s">
        <v>8325</v>
      </c>
      <c r="C2474" s="22"/>
      <c r="D2474" s="26" t="str">
        <f t="shared" si="197"/>
        <v>https://kokusho.nijl.ac.jp/biblio/100232367/341</v>
      </c>
      <c r="E2474" s="22"/>
      <c r="F2474" s="22"/>
      <c r="G2474" s="22"/>
    </row>
    <row r="2475" spans="1:7" x14ac:dyDescent="0.15">
      <c r="A2475" s="19" t="s">
        <v>6767</v>
      </c>
      <c r="B2475" s="25" t="s">
        <v>8326</v>
      </c>
      <c r="C2475" s="22"/>
      <c r="D2475" s="26" t="str">
        <f t="shared" si="197"/>
        <v>https://kokusho.nijl.ac.jp/biblio/100232367/341</v>
      </c>
      <c r="E2475" s="22"/>
      <c r="F2475" s="22"/>
      <c r="G2475" s="22"/>
    </row>
    <row r="2476" spans="1:7" x14ac:dyDescent="0.15">
      <c r="A2476" s="19" t="s">
        <v>6767</v>
      </c>
      <c r="B2476" s="25" t="s">
        <v>8327</v>
      </c>
      <c r="C2476" s="22"/>
      <c r="D2476" s="26" t="str">
        <f t="shared" si="197"/>
        <v>https://kokusho.nijl.ac.jp/biblio/100232367/341</v>
      </c>
      <c r="E2476" s="22"/>
      <c r="F2476" s="22"/>
      <c r="G2476" s="22"/>
    </row>
    <row r="2477" spans="1:7" x14ac:dyDescent="0.15">
      <c r="A2477" s="19" t="s">
        <v>6767</v>
      </c>
      <c r="B2477" s="25" t="s">
        <v>8328</v>
      </c>
      <c r="C2477" s="22"/>
      <c r="D2477" s="26" t="str">
        <f t="shared" si="197"/>
        <v>https://kokusho.nijl.ac.jp/biblio/100232367/341</v>
      </c>
      <c r="E2477" s="22"/>
      <c r="F2477" s="22"/>
      <c r="G2477" s="22"/>
    </row>
    <row r="2478" spans="1:7" x14ac:dyDescent="0.15">
      <c r="A2478" s="19" t="s">
        <v>6767</v>
      </c>
      <c r="B2478" s="25" t="s">
        <v>8329</v>
      </c>
      <c r="C2478" s="22"/>
      <c r="D2478" s="26" t="str">
        <f t="shared" ref="D2478:D2488" si="198">HYPERLINK("https://kokusho.nijl.ac.jp/biblio/100232367/342")</f>
        <v>https://kokusho.nijl.ac.jp/biblio/100232367/342</v>
      </c>
      <c r="E2478" s="22"/>
      <c r="F2478" s="22"/>
      <c r="G2478" s="22"/>
    </row>
    <row r="2479" spans="1:7" x14ac:dyDescent="0.15">
      <c r="A2479" s="19" t="s">
        <v>6767</v>
      </c>
      <c r="B2479" s="25" t="s">
        <v>8330</v>
      </c>
      <c r="C2479" s="22"/>
      <c r="D2479" s="26" t="str">
        <f t="shared" si="198"/>
        <v>https://kokusho.nijl.ac.jp/biblio/100232367/342</v>
      </c>
      <c r="E2479" s="22"/>
      <c r="F2479" s="22"/>
      <c r="G2479" s="22"/>
    </row>
    <row r="2480" spans="1:7" x14ac:dyDescent="0.15">
      <c r="A2480" s="19" t="s">
        <v>6767</v>
      </c>
      <c r="B2480" s="25" t="s">
        <v>8331</v>
      </c>
      <c r="C2480" s="22"/>
      <c r="D2480" s="26" t="str">
        <f t="shared" si="198"/>
        <v>https://kokusho.nijl.ac.jp/biblio/100232367/342</v>
      </c>
      <c r="E2480" s="22"/>
      <c r="F2480" s="22"/>
      <c r="G2480" s="22"/>
    </row>
    <row r="2481" spans="1:7" x14ac:dyDescent="0.15">
      <c r="A2481" s="19" t="s">
        <v>6767</v>
      </c>
      <c r="B2481" s="25" t="s">
        <v>8332</v>
      </c>
      <c r="C2481" s="22"/>
      <c r="D2481" s="26" t="str">
        <f t="shared" si="198"/>
        <v>https://kokusho.nijl.ac.jp/biblio/100232367/342</v>
      </c>
      <c r="E2481" s="22"/>
      <c r="F2481" s="22"/>
      <c r="G2481" s="22"/>
    </row>
    <row r="2482" spans="1:7" x14ac:dyDescent="0.15">
      <c r="A2482" s="19" t="s">
        <v>6767</v>
      </c>
      <c r="B2482" s="25" t="s">
        <v>8333</v>
      </c>
      <c r="C2482" s="22"/>
      <c r="D2482" s="26" t="str">
        <f t="shared" si="198"/>
        <v>https://kokusho.nijl.ac.jp/biblio/100232367/342</v>
      </c>
      <c r="E2482" s="22"/>
      <c r="F2482" s="22"/>
      <c r="G2482" s="22"/>
    </row>
    <row r="2483" spans="1:7" x14ac:dyDescent="0.15">
      <c r="A2483" s="19" t="s">
        <v>6767</v>
      </c>
      <c r="B2483" s="25" t="s">
        <v>8334</v>
      </c>
      <c r="C2483" s="22"/>
      <c r="D2483" s="26" t="str">
        <f t="shared" si="198"/>
        <v>https://kokusho.nijl.ac.jp/biblio/100232367/342</v>
      </c>
      <c r="E2483" s="22"/>
      <c r="F2483" s="22"/>
      <c r="G2483" s="22"/>
    </row>
    <row r="2484" spans="1:7" x14ac:dyDescent="0.15">
      <c r="A2484" s="19" t="s">
        <v>6767</v>
      </c>
      <c r="B2484" s="25" t="s">
        <v>8335</v>
      </c>
      <c r="C2484" s="22"/>
      <c r="D2484" s="26" t="str">
        <f t="shared" si="198"/>
        <v>https://kokusho.nijl.ac.jp/biblio/100232367/342</v>
      </c>
      <c r="E2484" s="22"/>
      <c r="F2484" s="22"/>
      <c r="G2484" s="22"/>
    </row>
    <row r="2485" spans="1:7" x14ac:dyDescent="0.15">
      <c r="A2485" s="19" t="s">
        <v>6767</v>
      </c>
      <c r="B2485" s="25" t="s">
        <v>8336</v>
      </c>
      <c r="C2485" s="22"/>
      <c r="D2485" s="26" t="str">
        <f t="shared" si="198"/>
        <v>https://kokusho.nijl.ac.jp/biblio/100232367/342</v>
      </c>
      <c r="E2485" s="22"/>
      <c r="F2485" s="22"/>
      <c r="G2485" s="22"/>
    </row>
    <row r="2486" spans="1:7" x14ac:dyDescent="0.15">
      <c r="A2486" s="19" t="s">
        <v>6767</v>
      </c>
      <c r="B2486" s="25" t="s">
        <v>8337</v>
      </c>
      <c r="C2486" s="22"/>
      <c r="D2486" s="26" t="str">
        <f t="shared" si="198"/>
        <v>https://kokusho.nijl.ac.jp/biblio/100232367/342</v>
      </c>
      <c r="E2486" s="22"/>
      <c r="F2486" s="22"/>
      <c r="G2486" s="22"/>
    </row>
    <row r="2487" spans="1:7" x14ac:dyDescent="0.15">
      <c r="A2487" s="19" t="s">
        <v>6767</v>
      </c>
      <c r="B2487" s="25" t="s">
        <v>8338</v>
      </c>
      <c r="C2487" s="22"/>
      <c r="D2487" s="26" t="str">
        <f t="shared" si="198"/>
        <v>https://kokusho.nijl.ac.jp/biblio/100232367/342</v>
      </c>
      <c r="E2487" s="22"/>
      <c r="F2487" s="22"/>
      <c r="G2487" s="22"/>
    </row>
    <row r="2488" spans="1:7" x14ac:dyDescent="0.15">
      <c r="A2488" s="19" t="s">
        <v>6767</v>
      </c>
      <c r="B2488" s="25" t="s">
        <v>8339</v>
      </c>
      <c r="C2488" s="22"/>
      <c r="D2488" s="26" t="str">
        <f t="shared" si="198"/>
        <v>https://kokusho.nijl.ac.jp/biblio/100232367/342</v>
      </c>
      <c r="E2488" s="22"/>
      <c r="F2488" s="22"/>
      <c r="G2488" s="22"/>
    </row>
    <row r="2489" spans="1:7" x14ac:dyDescent="0.15">
      <c r="A2489" s="19" t="s">
        <v>6767</v>
      </c>
      <c r="B2489" s="25" t="s">
        <v>8340</v>
      </c>
      <c r="C2489" s="22"/>
      <c r="D2489" s="26" t="str">
        <f>HYPERLINK("https://kokusho.nijl.ac.jp/biblio/100232367/343")</f>
        <v>https://kokusho.nijl.ac.jp/biblio/100232367/343</v>
      </c>
      <c r="E2489" s="22"/>
      <c r="F2489" s="22"/>
      <c r="G2489" s="22"/>
    </row>
    <row r="2490" spans="1:7" x14ac:dyDescent="0.15">
      <c r="A2490" s="19" t="s">
        <v>6767</v>
      </c>
      <c r="B2490" s="25" t="s">
        <v>8341</v>
      </c>
      <c r="C2490" s="22"/>
      <c r="D2490" s="26" t="str">
        <f>HYPERLINK("https://kokusho.nijl.ac.jp/biblio/100232367/343")</f>
        <v>https://kokusho.nijl.ac.jp/biblio/100232367/343</v>
      </c>
      <c r="E2490" s="22"/>
      <c r="F2490" s="22"/>
      <c r="G2490" s="22"/>
    </row>
    <row r="2491" spans="1:7" ht="135" x14ac:dyDescent="0.15">
      <c r="A2491" s="19" t="s">
        <v>6767</v>
      </c>
      <c r="B2491" s="25" t="s">
        <v>8342</v>
      </c>
      <c r="C2491" s="22"/>
      <c r="D2491" s="26" t="str">
        <f>HYPERLINK("https://kokusho.nijl.ac.jp/biblio/100232367/343")</f>
        <v>https://kokusho.nijl.ac.jp/biblio/100232367/343</v>
      </c>
      <c r="E2491" s="22"/>
      <c r="F2491" s="22"/>
      <c r="G2491" s="22"/>
    </row>
    <row r="2492" spans="1:7" x14ac:dyDescent="0.15">
      <c r="A2492" s="19" t="s">
        <v>6767</v>
      </c>
      <c r="B2492" s="25" t="s">
        <v>8343</v>
      </c>
      <c r="C2492" s="22"/>
      <c r="D2492" s="26" t="str">
        <f>HYPERLINK("https://kokusho.nijl.ac.jp/biblio/100232367/346")</f>
        <v>https://kokusho.nijl.ac.jp/biblio/100232367/346</v>
      </c>
      <c r="E2492" s="22"/>
      <c r="F2492" s="22"/>
      <c r="G2492" s="22"/>
    </row>
    <row r="2493" spans="1:7" x14ac:dyDescent="0.15">
      <c r="A2493" s="19" t="s">
        <v>6767</v>
      </c>
      <c r="B2493" s="25" t="s">
        <v>5778</v>
      </c>
      <c r="C2493" s="22"/>
      <c r="D2493" s="26" t="str">
        <f>HYPERLINK("https://kokusho.nijl.ac.jp/biblio/100232367/346")</f>
        <v>https://kokusho.nijl.ac.jp/biblio/100232367/346</v>
      </c>
      <c r="E2493" s="22"/>
      <c r="F2493" s="22"/>
      <c r="G2493" s="22"/>
    </row>
    <row r="2494" spans="1:7" x14ac:dyDescent="0.15">
      <c r="A2494" s="19" t="s">
        <v>6767</v>
      </c>
      <c r="B2494" s="25" t="s">
        <v>6818</v>
      </c>
      <c r="C2494" s="22"/>
      <c r="D2494" s="26" t="str">
        <f>HYPERLINK("https://kokusho.nijl.ac.jp/biblio/100232367/346")</f>
        <v>https://kokusho.nijl.ac.jp/biblio/100232367/346</v>
      </c>
      <c r="E2494" s="22"/>
      <c r="F2494" s="22"/>
      <c r="G2494" s="22"/>
    </row>
    <row r="2495" spans="1:7" x14ac:dyDescent="0.15">
      <c r="A2495" s="19" t="s">
        <v>6767</v>
      </c>
      <c r="B2495" s="25" t="s">
        <v>8344</v>
      </c>
      <c r="C2495" s="22"/>
      <c r="D2495" s="26" t="str">
        <f>HYPERLINK("https://kokusho.nijl.ac.jp/biblio/100232367/348")</f>
        <v>https://kokusho.nijl.ac.jp/biblio/100232367/348</v>
      </c>
      <c r="E2495" s="22"/>
      <c r="F2495" s="22"/>
      <c r="G2495" s="22"/>
    </row>
    <row r="2496" spans="1:7" x14ac:dyDescent="0.15">
      <c r="A2496" s="19" t="s">
        <v>6767</v>
      </c>
      <c r="B2496" s="25" t="s">
        <v>8345</v>
      </c>
      <c r="C2496" s="22"/>
      <c r="D2496" s="26" t="str">
        <f>HYPERLINK("https://kokusho.nijl.ac.jp/biblio/100232367/348")</f>
        <v>https://kokusho.nijl.ac.jp/biblio/100232367/348</v>
      </c>
      <c r="E2496" s="22"/>
      <c r="F2496" s="22"/>
      <c r="G2496" s="22"/>
    </row>
    <row r="2497" spans="1:7" x14ac:dyDescent="0.15">
      <c r="A2497" s="19" t="s">
        <v>6767</v>
      </c>
      <c r="B2497" s="25" t="s">
        <v>8346</v>
      </c>
      <c r="C2497" s="22"/>
      <c r="D2497" s="26" t="str">
        <f>HYPERLINK("https://kokusho.nijl.ac.jp/biblio/100232367/348")</f>
        <v>https://kokusho.nijl.ac.jp/biblio/100232367/348</v>
      </c>
      <c r="E2497" s="22"/>
      <c r="F2497" s="22"/>
      <c r="G2497" s="22"/>
    </row>
    <row r="2498" spans="1:7" x14ac:dyDescent="0.15">
      <c r="A2498" s="19" t="s">
        <v>6767</v>
      </c>
      <c r="B2498" s="25" t="s">
        <v>8347</v>
      </c>
      <c r="C2498" s="22"/>
      <c r="D2498" s="26" t="str">
        <f>HYPERLINK("https://kokusho.nijl.ac.jp/biblio/100232367/348")</f>
        <v>https://kokusho.nijl.ac.jp/biblio/100232367/348</v>
      </c>
      <c r="E2498" s="22"/>
      <c r="F2498" s="22"/>
      <c r="G2498" s="22"/>
    </row>
    <row r="2499" spans="1:7" x14ac:dyDescent="0.15">
      <c r="A2499" s="19" t="s">
        <v>6767</v>
      </c>
      <c r="B2499" s="25" t="s">
        <v>8348</v>
      </c>
      <c r="C2499" s="22"/>
      <c r="D2499" s="26" t="str">
        <f>HYPERLINK("https://kokusho.nijl.ac.jp/biblio/100232367/348")</f>
        <v>https://kokusho.nijl.ac.jp/biblio/100232367/348</v>
      </c>
      <c r="E2499" s="22"/>
      <c r="F2499" s="22"/>
      <c r="G2499" s="22"/>
    </row>
    <row r="2500" spans="1:7" x14ac:dyDescent="0.15">
      <c r="A2500" s="19" t="s">
        <v>6767</v>
      </c>
      <c r="B2500" s="25" t="s">
        <v>8349</v>
      </c>
      <c r="C2500" s="22"/>
      <c r="D2500" s="26" t="str">
        <f>HYPERLINK("https://kokusho.nijl.ac.jp/biblio/100232367/349")</f>
        <v>https://kokusho.nijl.ac.jp/biblio/100232367/349</v>
      </c>
      <c r="E2500" s="22"/>
      <c r="F2500" s="22"/>
      <c r="G2500" s="22"/>
    </row>
    <row r="2501" spans="1:7" x14ac:dyDescent="0.15">
      <c r="A2501" s="19" t="s">
        <v>6767</v>
      </c>
      <c r="B2501" s="25" t="s">
        <v>8350</v>
      </c>
      <c r="C2501" s="22"/>
      <c r="D2501" s="26" t="str">
        <f>HYPERLINK("https://kokusho.nijl.ac.jp/biblio/100232367/349")</f>
        <v>https://kokusho.nijl.ac.jp/biblio/100232367/349</v>
      </c>
      <c r="E2501" s="22"/>
      <c r="F2501" s="22"/>
      <c r="G2501" s="22"/>
    </row>
    <row r="2502" spans="1:7" x14ac:dyDescent="0.15">
      <c r="A2502" s="19" t="s">
        <v>6767</v>
      </c>
      <c r="B2502" s="25" t="s">
        <v>8351</v>
      </c>
      <c r="C2502" s="22"/>
      <c r="D2502" s="26" t="str">
        <f>HYPERLINK("https://kokusho.nijl.ac.jp/biblio/100232367/349")</f>
        <v>https://kokusho.nijl.ac.jp/biblio/100232367/349</v>
      </c>
      <c r="E2502" s="22"/>
      <c r="F2502" s="22"/>
      <c r="G2502" s="22"/>
    </row>
    <row r="2503" spans="1:7" x14ac:dyDescent="0.15">
      <c r="A2503" s="19" t="s">
        <v>6767</v>
      </c>
      <c r="B2503" s="25" t="s">
        <v>8352</v>
      </c>
      <c r="C2503" s="22"/>
      <c r="D2503" s="26" t="str">
        <f>HYPERLINK("https://kokusho.nijl.ac.jp/biblio/100232367/350")</f>
        <v>https://kokusho.nijl.ac.jp/biblio/100232367/350</v>
      </c>
      <c r="E2503" s="22"/>
      <c r="F2503" s="22"/>
      <c r="G2503" s="22"/>
    </row>
    <row r="2504" spans="1:7" x14ac:dyDescent="0.15">
      <c r="A2504" s="19" t="s">
        <v>6767</v>
      </c>
      <c r="B2504" s="25" t="s">
        <v>8353</v>
      </c>
      <c r="C2504" s="22"/>
      <c r="D2504" s="26" t="str">
        <f>HYPERLINK("https://kokusho.nijl.ac.jp/biblio/100232367/352")</f>
        <v>https://kokusho.nijl.ac.jp/biblio/100232367/352</v>
      </c>
      <c r="E2504" s="22"/>
      <c r="F2504" s="22"/>
      <c r="G2504" s="22"/>
    </row>
    <row r="2505" spans="1:7" x14ac:dyDescent="0.15">
      <c r="A2505" s="19" t="s">
        <v>6767</v>
      </c>
      <c r="B2505" s="25" t="s">
        <v>8354</v>
      </c>
      <c r="C2505" s="22"/>
      <c r="D2505" s="26" t="str">
        <f>HYPERLINK("https://kokusho.nijl.ac.jp/biblio/100232367/353")</f>
        <v>https://kokusho.nijl.ac.jp/biblio/100232367/353</v>
      </c>
      <c r="E2505" s="22"/>
      <c r="F2505" s="22"/>
      <c r="G2505" s="22"/>
    </row>
    <row r="2506" spans="1:7" x14ac:dyDescent="0.15">
      <c r="A2506" s="19" t="s">
        <v>6767</v>
      </c>
      <c r="B2506" s="25" t="s">
        <v>8355</v>
      </c>
      <c r="C2506" s="22"/>
      <c r="D2506" s="26" t="str">
        <f>HYPERLINK("https://kokusho.nijl.ac.jp/biblio/100232367/353")</f>
        <v>https://kokusho.nijl.ac.jp/biblio/100232367/353</v>
      </c>
      <c r="E2506" s="22"/>
      <c r="F2506" s="22"/>
      <c r="G2506" s="22"/>
    </row>
    <row r="2507" spans="1:7" x14ac:dyDescent="0.15">
      <c r="A2507" s="19" t="s">
        <v>6767</v>
      </c>
      <c r="B2507" s="25" t="s">
        <v>8356</v>
      </c>
      <c r="C2507" s="22"/>
      <c r="D2507" s="26" t="str">
        <f>HYPERLINK("https://kokusho.nijl.ac.jp/biblio/100232367/353")</f>
        <v>https://kokusho.nijl.ac.jp/biblio/100232367/353</v>
      </c>
      <c r="E2507" s="22"/>
      <c r="F2507" s="22"/>
      <c r="G2507" s="22"/>
    </row>
    <row r="2508" spans="1:7" x14ac:dyDescent="0.15">
      <c r="A2508" s="19" t="s">
        <v>6767</v>
      </c>
      <c r="B2508" s="25" t="s">
        <v>8357</v>
      </c>
      <c r="C2508" s="22"/>
      <c r="D2508" s="26" t="str">
        <f>HYPERLINK("https://kokusho.nijl.ac.jp/biblio/100232367/353")</f>
        <v>https://kokusho.nijl.ac.jp/biblio/100232367/353</v>
      </c>
      <c r="E2508" s="22"/>
      <c r="F2508" s="22"/>
      <c r="G2508" s="22"/>
    </row>
    <row r="2509" spans="1:7" x14ac:dyDescent="0.15">
      <c r="A2509" s="19" t="s">
        <v>6767</v>
      </c>
      <c r="B2509" s="25" t="s">
        <v>8358</v>
      </c>
      <c r="C2509" s="22"/>
      <c r="D2509" s="26" t="str">
        <f t="shared" ref="D2509:D2515" si="199">HYPERLINK("https://kokusho.nijl.ac.jp/biblio/100232367/354")</f>
        <v>https://kokusho.nijl.ac.jp/biblio/100232367/354</v>
      </c>
      <c r="E2509" s="22"/>
      <c r="F2509" s="22"/>
      <c r="G2509" s="22"/>
    </row>
    <row r="2510" spans="1:7" x14ac:dyDescent="0.15">
      <c r="A2510" s="19" t="s">
        <v>6767</v>
      </c>
      <c r="B2510" s="25" t="s">
        <v>8359</v>
      </c>
      <c r="C2510" s="22"/>
      <c r="D2510" s="26" t="str">
        <f t="shared" si="199"/>
        <v>https://kokusho.nijl.ac.jp/biblio/100232367/354</v>
      </c>
      <c r="E2510" s="22"/>
      <c r="F2510" s="22"/>
      <c r="G2510" s="22"/>
    </row>
    <row r="2511" spans="1:7" x14ac:dyDescent="0.15">
      <c r="A2511" s="19" t="s">
        <v>6767</v>
      </c>
      <c r="B2511" s="25" t="s">
        <v>8360</v>
      </c>
      <c r="C2511" s="22"/>
      <c r="D2511" s="26" t="str">
        <f t="shared" si="199"/>
        <v>https://kokusho.nijl.ac.jp/biblio/100232367/354</v>
      </c>
      <c r="E2511" s="22"/>
      <c r="F2511" s="22"/>
      <c r="G2511" s="22"/>
    </row>
    <row r="2512" spans="1:7" x14ac:dyDescent="0.15">
      <c r="A2512" s="19" t="s">
        <v>6767</v>
      </c>
      <c r="B2512" s="25" t="s">
        <v>8361</v>
      </c>
      <c r="C2512" s="22"/>
      <c r="D2512" s="26" t="str">
        <f t="shared" si="199"/>
        <v>https://kokusho.nijl.ac.jp/biblio/100232367/354</v>
      </c>
      <c r="E2512" s="22"/>
      <c r="F2512" s="22"/>
      <c r="G2512" s="22"/>
    </row>
    <row r="2513" spans="1:7" x14ac:dyDescent="0.15">
      <c r="A2513" s="19" t="s">
        <v>6767</v>
      </c>
      <c r="B2513" s="25" t="s">
        <v>8362</v>
      </c>
      <c r="C2513" s="22"/>
      <c r="D2513" s="26" t="str">
        <f t="shared" si="199"/>
        <v>https://kokusho.nijl.ac.jp/biblio/100232367/354</v>
      </c>
      <c r="E2513" s="22"/>
      <c r="F2513" s="22"/>
      <c r="G2513" s="22"/>
    </row>
    <row r="2514" spans="1:7" x14ac:dyDescent="0.15">
      <c r="A2514" s="19" t="s">
        <v>6767</v>
      </c>
      <c r="B2514" s="25" t="s">
        <v>8363</v>
      </c>
      <c r="C2514" s="22"/>
      <c r="D2514" s="26" t="str">
        <f t="shared" si="199"/>
        <v>https://kokusho.nijl.ac.jp/biblio/100232367/354</v>
      </c>
      <c r="E2514" s="22"/>
      <c r="F2514" s="22"/>
      <c r="G2514" s="22"/>
    </row>
    <row r="2515" spans="1:7" ht="18.75" x14ac:dyDescent="0.15">
      <c r="A2515" s="19" t="s">
        <v>6767</v>
      </c>
      <c r="B2515" s="25" t="s">
        <v>8973</v>
      </c>
      <c r="C2515" s="22"/>
      <c r="D2515" s="26" t="str">
        <f t="shared" si="199"/>
        <v>https://kokusho.nijl.ac.jp/biblio/100232367/354</v>
      </c>
      <c r="E2515" s="22"/>
      <c r="F2515" s="22"/>
      <c r="G2515" s="22"/>
    </row>
    <row r="2516" spans="1:7" x14ac:dyDescent="0.15">
      <c r="A2516" s="19" t="s">
        <v>6767</v>
      </c>
      <c r="B2516" s="25" t="s">
        <v>8364</v>
      </c>
      <c r="C2516" s="22"/>
      <c r="D2516" s="26" t="str">
        <f t="shared" ref="D2516:D2522" si="200">HYPERLINK("https://kokusho.nijl.ac.jp/biblio/100232367/355")</f>
        <v>https://kokusho.nijl.ac.jp/biblio/100232367/355</v>
      </c>
      <c r="E2516" s="22"/>
      <c r="F2516" s="22"/>
      <c r="G2516" s="22"/>
    </row>
    <row r="2517" spans="1:7" x14ac:dyDescent="0.15">
      <c r="A2517" s="19" t="s">
        <v>6767</v>
      </c>
      <c r="B2517" s="25" t="s">
        <v>8365</v>
      </c>
      <c r="C2517" s="22"/>
      <c r="D2517" s="26" t="str">
        <f t="shared" si="200"/>
        <v>https://kokusho.nijl.ac.jp/biblio/100232367/355</v>
      </c>
      <c r="E2517" s="22"/>
      <c r="F2517" s="22"/>
      <c r="G2517" s="22"/>
    </row>
    <row r="2518" spans="1:7" x14ac:dyDescent="0.15">
      <c r="A2518" s="19" t="s">
        <v>6767</v>
      </c>
      <c r="B2518" s="25" t="s">
        <v>8366</v>
      </c>
      <c r="C2518" s="22"/>
      <c r="D2518" s="26" t="str">
        <f t="shared" si="200"/>
        <v>https://kokusho.nijl.ac.jp/biblio/100232367/355</v>
      </c>
      <c r="E2518" s="22"/>
      <c r="F2518" s="22"/>
      <c r="G2518" s="22"/>
    </row>
    <row r="2519" spans="1:7" x14ac:dyDescent="0.15">
      <c r="A2519" s="19" t="s">
        <v>6767</v>
      </c>
      <c r="B2519" s="25" t="s">
        <v>8367</v>
      </c>
      <c r="C2519" s="22"/>
      <c r="D2519" s="26" t="str">
        <f t="shared" si="200"/>
        <v>https://kokusho.nijl.ac.jp/biblio/100232367/355</v>
      </c>
      <c r="E2519" s="22"/>
      <c r="F2519" s="22"/>
      <c r="G2519" s="22"/>
    </row>
    <row r="2520" spans="1:7" x14ac:dyDescent="0.15">
      <c r="A2520" s="19" t="s">
        <v>6767</v>
      </c>
      <c r="B2520" s="25" t="s">
        <v>8368</v>
      </c>
      <c r="C2520" s="22"/>
      <c r="D2520" s="26" t="str">
        <f t="shared" si="200"/>
        <v>https://kokusho.nijl.ac.jp/biblio/100232367/355</v>
      </c>
      <c r="E2520" s="22"/>
      <c r="F2520" s="22"/>
      <c r="G2520" s="22"/>
    </row>
    <row r="2521" spans="1:7" x14ac:dyDescent="0.15">
      <c r="A2521" s="19" t="s">
        <v>6767</v>
      </c>
      <c r="B2521" s="25" t="s">
        <v>8369</v>
      </c>
      <c r="C2521" s="22"/>
      <c r="D2521" s="26" t="str">
        <f t="shared" si="200"/>
        <v>https://kokusho.nijl.ac.jp/biblio/100232367/355</v>
      </c>
      <c r="E2521" s="22"/>
      <c r="F2521" s="22"/>
      <c r="G2521" s="22"/>
    </row>
    <row r="2522" spans="1:7" x14ac:dyDescent="0.15">
      <c r="A2522" s="19" t="s">
        <v>6767</v>
      </c>
      <c r="B2522" s="25" t="s">
        <v>8370</v>
      </c>
      <c r="C2522" s="22"/>
      <c r="D2522" s="26" t="str">
        <f t="shared" si="200"/>
        <v>https://kokusho.nijl.ac.jp/biblio/100232367/355</v>
      </c>
      <c r="E2522" s="22"/>
      <c r="F2522" s="22"/>
      <c r="G2522" s="22"/>
    </row>
    <row r="2523" spans="1:7" x14ac:dyDescent="0.15">
      <c r="A2523" s="19" t="s">
        <v>6767</v>
      </c>
      <c r="B2523" s="25" t="s">
        <v>8371</v>
      </c>
      <c r="C2523" s="22"/>
      <c r="D2523" s="26" t="str">
        <f t="shared" ref="D2523:D2531" si="201">HYPERLINK("https://kokusho.nijl.ac.jp/biblio/100232367/356")</f>
        <v>https://kokusho.nijl.ac.jp/biblio/100232367/356</v>
      </c>
      <c r="E2523" s="22"/>
      <c r="F2523" s="22"/>
      <c r="G2523" s="22"/>
    </row>
    <row r="2524" spans="1:7" x14ac:dyDescent="0.15">
      <c r="A2524" s="19" t="s">
        <v>6767</v>
      </c>
      <c r="B2524" s="25" t="s">
        <v>8372</v>
      </c>
      <c r="C2524" s="22"/>
      <c r="D2524" s="26" t="str">
        <f t="shared" si="201"/>
        <v>https://kokusho.nijl.ac.jp/biblio/100232367/356</v>
      </c>
      <c r="E2524" s="22"/>
      <c r="F2524" s="22"/>
      <c r="G2524" s="22"/>
    </row>
    <row r="2525" spans="1:7" x14ac:dyDescent="0.15">
      <c r="A2525" s="19" t="s">
        <v>6767</v>
      </c>
      <c r="B2525" s="25" t="s">
        <v>8373</v>
      </c>
      <c r="C2525" s="22"/>
      <c r="D2525" s="26" t="str">
        <f t="shared" si="201"/>
        <v>https://kokusho.nijl.ac.jp/biblio/100232367/356</v>
      </c>
      <c r="E2525" s="22"/>
      <c r="F2525" s="22"/>
      <c r="G2525" s="22"/>
    </row>
    <row r="2526" spans="1:7" x14ac:dyDescent="0.15">
      <c r="A2526" s="19" t="s">
        <v>6767</v>
      </c>
      <c r="B2526" s="25" t="s">
        <v>8374</v>
      </c>
      <c r="C2526" s="22"/>
      <c r="D2526" s="26" t="str">
        <f t="shared" si="201"/>
        <v>https://kokusho.nijl.ac.jp/biblio/100232367/356</v>
      </c>
      <c r="E2526" s="22"/>
      <c r="F2526" s="22"/>
      <c r="G2526" s="22"/>
    </row>
    <row r="2527" spans="1:7" x14ac:dyDescent="0.15">
      <c r="A2527" s="19" t="s">
        <v>6767</v>
      </c>
      <c r="B2527" s="25" t="s">
        <v>6418</v>
      </c>
      <c r="C2527" s="22"/>
      <c r="D2527" s="26" t="str">
        <f t="shared" si="201"/>
        <v>https://kokusho.nijl.ac.jp/biblio/100232367/356</v>
      </c>
      <c r="E2527" s="22"/>
      <c r="F2527" s="22"/>
      <c r="G2527" s="22"/>
    </row>
    <row r="2528" spans="1:7" x14ac:dyDescent="0.15">
      <c r="A2528" s="19" t="s">
        <v>6767</v>
      </c>
      <c r="B2528" s="25" t="s">
        <v>8375</v>
      </c>
      <c r="C2528" s="22"/>
      <c r="D2528" s="26" t="str">
        <f t="shared" si="201"/>
        <v>https://kokusho.nijl.ac.jp/biblio/100232367/356</v>
      </c>
      <c r="E2528" s="22"/>
      <c r="F2528" s="22"/>
      <c r="G2528" s="22"/>
    </row>
    <row r="2529" spans="1:7" x14ac:dyDescent="0.15">
      <c r="A2529" s="19" t="s">
        <v>6767</v>
      </c>
      <c r="B2529" s="25" t="s">
        <v>8376</v>
      </c>
      <c r="C2529" s="22"/>
      <c r="D2529" s="26" t="str">
        <f t="shared" si="201"/>
        <v>https://kokusho.nijl.ac.jp/biblio/100232367/356</v>
      </c>
      <c r="E2529" s="22"/>
      <c r="F2529" s="22"/>
      <c r="G2529" s="22"/>
    </row>
    <row r="2530" spans="1:7" x14ac:dyDescent="0.15">
      <c r="A2530" s="19" t="s">
        <v>6767</v>
      </c>
      <c r="B2530" s="25" t="s">
        <v>8377</v>
      </c>
      <c r="C2530" s="22"/>
      <c r="D2530" s="26" t="str">
        <f t="shared" si="201"/>
        <v>https://kokusho.nijl.ac.jp/biblio/100232367/356</v>
      </c>
      <c r="E2530" s="22"/>
      <c r="F2530" s="22"/>
      <c r="G2530" s="22"/>
    </row>
    <row r="2531" spans="1:7" x14ac:dyDescent="0.15">
      <c r="A2531" s="19" t="s">
        <v>6767</v>
      </c>
      <c r="B2531" s="25" t="s">
        <v>8378</v>
      </c>
      <c r="C2531" s="22"/>
      <c r="D2531" s="26" t="str">
        <f t="shared" si="201"/>
        <v>https://kokusho.nijl.ac.jp/biblio/100232367/356</v>
      </c>
      <c r="E2531" s="22"/>
      <c r="F2531" s="22"/>
      <c r="G2531" s="22"/>
    </row>
    <row r="2532" spans="1:7" x14ac:dyDescent="0.15">
      <c r="A2532" s="19" t="s">
        <v>6767</v>
      </c>
      <c r="B2532" s="25" t="s">
        <v>8379</v>
      </c>
      <c r="C2532" s="22"/>
      <c r="D2532" s="26" t="str">
        <f t="shared" ref="D2532:D2539" si="202">HYPERLINK("https://kokusho.nijl.ac.jp/biblio/100232367/357")</f>
        <v>https://kokusho.nijl.ac.jp/biblio/100232367/357</v>
      </c>
      <c r="E2532" s="22"/>
      <c r="F2532" s="22"/>
      <c r="G2532" s="22"/>
    </row>
    <row r="2533" spans="1:7" x14ac:dyDescent="0.15">
      <c r="A2533" s="19" t="s">
        <v>6767</v>
      </c>
      <c r="B2533" s="25" t="s">
        <v>8380</v>
      </c>
      <c r="C2533" s="22"/>
      <c r="D2533" s="26" t="str">
        <f t="shared" si="202"/>
        <v>https://kokusho.nijl.ac.jp/biblio/100232367/357</v>
      </c>
      <c r="E2533" s="22"/>
      <c r="F2533" s="22"/>
      <c r="G2533" s="22"/>
    </row>
    <row r="2534" spans="1:7" x14ac:dyDescent="0.15">
      <c r="A2534" s="19" t="s">
        <v>6767</v>
      </c>
      <c r="B2534" s="25" t="s">
        <v>6444</v>
      </c>
      <c r="C2534" s="22"/>
      <c r="D2534" s="26" t="str">
        <f t="shared" si="202"/>
        <v>https://kokusho.nijl.ac.jp/biblio/100232367/357</v>
      </c>
      <c r="E2534" s="22"/>
      <c r="F2534" s="22"/>
      <c r="G2534" s="22"/>
    </row>
    <row r="2535" spans="1:7" x14ac:dyDescent="0.15">
      <c r="A2535" s="19" t="s">
        <v>6767</v>
      </c>
      <c r="B2535" s="25" t="s">
        <v>6422</v>
      </c>
      <c r="C2535" s="22"/>
      <c r="D2535" s="26" t="str">
        <f t="shared" si="202"/>
        <v>https://kokusho.nijl.ac.jp/biblio/100232367/357</v>
      </c>
      <c r="E2535" s="22"/>
      <c r="F2535" s="22"/>
      <c r="G2535" s="22"/>
    </row>
    <row r="2536" spans="1:7" x14ac:dyDescent="0.15">
      <c r="A2536" s="19" t="s">
        <v>6767</v>
      </c>
      <c r="B2536" s="25" t="s">
        <v>8381</v>
      </c>
      <c r="C2536" s="22"/>
      <c r="D2536" s="26" t="str">
        <f t="shared" si="202"/>
        <v>https://kokusho.nijl.ac.jp/biblio/100232367/357</v>
      </c>
      <c r="E2536" s="22"/>
      <c r="F2536" s="22"/>
      <c r="G2536" s="22"/>
    </row>
    <row r="2537" spans="1:7" x14ac:dyDescent="0.15">
      <c r="A2537" s="19" t="s">
        <v>6767</v>
      </c>
      <c r="B2537" s="25" t="s">
        <v>8382</v>
      </c>
      <c r="C2537" s="22"/>
      <c r="D2537" s="26" t="str">
        <f t="shared" si="202"/>
        <v>https://kokusho.nijl.ac.jp/biblio/100232367/357</v>
      </c>
      <c r="E2537" s="22"/>
      <c r="F2537" s="22"/>
      <c r="G2537" s="22"/>
    </row>
    <row r="2538" spans="1:7" x14ac:dyDescent="0.15">
      <c r="A2538" s="19" t="s">
        <v>6767</v>
      </c>
      <c r="B2538" s="25" t="s">
        <v>8383</v>
      </c>
      <c r="C2538" s="22"/>
      <c r="D2538" s="26" t="str">
        <f t="shared" si="202"/>
        <v>https://kokusho.nijl.ac.jp/biblio/100232367/357</v>
      </c>
      <c r="E2538" s="22"/>
      <c r="F2538" s="22"/>
      <c r="G2538" s="22"/>
    </row>
    <row r="2539" spans="1:7" x14ac:dyDescent="0.15">
      <c r="A2539" s="19" t="s">
        <v>6767</v>
      </c>
      <c r="B2539" s="25" t="s">
        <v>8384</v>
      </c>
      <c r="C2539" s="22"/>
      <c r="D2539" s="26" t="str">
        <f t="shared" si="202"/>
        <v>https://kokusho.nijl.ac.jp/biblio/100232367/357</v>
      </c>
      <c r="E2539" s="22"/>
      <c r="F2539" s="22"/>
      <c r="G2539" s="22"/>
    </row>
    <row r="2540" spans="1:7" ht="27" x14ac:dyDescent="0.15">
      <c r="A2540" s="19" t="s">
        <v>6767</v>
      </c>
      <c r="B2540" s="25" t="s">
        <v>8385</v>
      </c>
      <c r="C2540" s="22"/>
      <c r="D2540" s="26" t="str">
        <f t="shared" ref="D2540:D2546" si="203">HYPERLINK("https://kokusho.nijl.ac.jp/biblio/100232367/358")</f>
        <v>https://kokusho.nijl.ac.jp/biblio/100232367/358</v>
      </c>
      <c r="E2540" s="22"/>
      <c r="F2540" s="22"/>
      <c r="G2540" s="22"/>
    </row>
    <row r="2541" spans="1:7" x14ac:dyDescent="0.15">
      <c r="A2541" s="19" t="s">
        <v>6767</v>
      </c>
      <c r="B2541" s="25" t="s">
        <v>8386</v>
      </c>
      <c r="C2541" s="22"/>
      <c r="D2541" s="26" t="str">
        <f t="shared" si="203"/>
        <v>https://kokusho.nijl.ac.jp/biblio/100232367/358</v>
      </c>
      <c r="E2541" s="22"/>
      <c r="F2541" s="22"/>
      <c r="G2541" s="22"/>
    </row>
    <row r="2542" spans="1:7" x14ac:dyDescent="0.15">
      <c r="A2542" s="19" t="s">
        <v>6767</v>
      </c>
      <c r="B2542" s="25" t="s">
        <v>8387</v>
      </c>
      <c r="C2542" s="22"/>
      <c r="D2542" s="26" t="str">
        <f t="shared" si="203"/>
        <v>https://kokusho.nijl.ac.jp/biblio/100232367/358</v>
      </c>
      <c r="E2542" s="22"/>
      <c r="F2542" s="22"/>
      <c r="G2542" s="22"/>
    </row>
    <row r="2543" spans="1:7" x14ac:dyDescent="0.15">
      <c r="A2543" s="19" t="s">
        <v>6767</v>
      </c>
      <c r="B2543" s="25" t="s">
        <v>8388</v>
      </c>
      <c r="C2543" s="22"/>
      <c r="D2543" s="26" t="str">
        <f t="shared" si="203"/>
        <v>https://kokusho.nijl.ac.jp/biblio/100232367/358</v>
      </c>
      <c r="E2543" s="22"/>
      <c r="F2543" s="22"/>
      <c r="G2543" s="22"/>
    </row>
    <row r="2544" spans="1:7" x14ac:dyDescent="0.15">
      <c r="A2544" s="19" t="s">
        <v>6767</v>
      </c>
      <c r="B2544" s="25" t="s">
        <v>8389</v>
      </c>
      <c r="C2544" s="22"/>
      <c r="D2544" s="26" t="str">
        <f t="shared" si="203"/>
        <v>https://kokusho.nijl.ac.jp/biblio/100232367/358</v>
      </c>
      <c r="E2544" s="22"/>
      <c r="F2544" s="22"/>
      <c r="G2544" s="22"/>
    </row>
    <row r="2545" spans="1:7" x14ac:dyDescent="0.15">
      <c r="A2545" s="19" t="s">
        <v>6767</v>
      </c>
      <c r="B2545" s="25" t="s">
        <v>8390</v>
      </c>
      <c r="C2545" s="22"/>
      <c r="D2545" s="26" t="str">
        <f t="shared" si="203"/>
        <v>https://kokusho.nijl.ac.jp/biblio/100232367/358</v>
      </c>
      <c r="E2545" s="22"/>
      <c r="F2545" s="22"/>
      <c r="G2545" s="22"/>
    </row>
    <row r="2546" spans="1:7" x14ac:dyDescent="0.15">
      <c r="A2546" s="19" t="s">
        <v>6767</v>
      </c>
      <c r="B2546" s="25" t="s">
        <v>8391</v>
      </c>
      <c r="C2546" s="22"/>
      <c r="D2546" s="26" t="str">
        <f t="shared" si="203"/>
        <v>https://kokusho.nijl.ac.jp/biblio/100232367/358</v>
      </c>
      <c r="E2546" s="22"/>
      <c r="F2546" s="22"/>
      <c r="G2546" s="22"/>
    </row>
    <row r="2547" spans="1:7" x14ac:dyDescent="0.15">
      <c r="A2547" s="19" t="s">
        <v>6767</v>
      </c>
      <c r="B2547" s="25" t="s">
        <v>6448</v>
      </c>
      <c r="C2547" s="22"/>
      <c r="D2547" s="26" t="str">
        <f>HYPERLINK("https://kokusho.nijl.ac.jp/biblio/100232367/359")</f>
        <v>https://kokusho.nijl.ac.jp/biblio/100232367/359</v>
      </c>
      <c r="E2547" s="22"/>
      <c r="F2547" s="22"/>
      <c r="G2547" s="22"/>
    </row>
    <row r="2548" spans="1:7" x14ac:dyDescent="0.15">
      <c r="A2548" s="19" t="s">
        <v>6767</v>
      </c>
      <c r="B2548" s="25" t="s">
        <v>8392</v>
      </c>
      <c r="C2548" s="22"/>
      <c r="D2548" s="26" t="str">
        <f>HYPERLINK("https://kokusho.nijl.ac.jp/biblio/100232367/359")</f>
        <v>https://kokusho.nijl.ac.jp/biblio/100232367/359</v>
      </c>
      <c r="E2548" s="22"/>
      <c r="F2548" s="22"/>
      <c r="G2548" s="22"/>
    </row>
    <row r="2549" spans="1:7" x14ac:dyDescent="0.15">
      <c r="A2549" s="19" t="s">
        <v>6767</v>
      </c>
      <c r="B2549" s="25" t="s">
        <v>8393</v>
      </c>
      <c r="C2549" s="22"/>
      <c r="D2549" s="26" t="str">
        <f>HYPERLINK("https://kokusho.nijl.ac.jp/biblio/100232367/359")</f>
        <v>https://kokusho.nijl.ac.jp/biblio/100232367/359</v>
      </c>
      <c r="E2549" s="22"/>
      <c r="F2549" s="22"/>
      <c r="G2549" s="22"/>
    </row>
    <row r="2550" spans="1:7" x14ac:dyDescent="0.15">
      <c r="A2550" s="19" t="s">
        <v>6767</v>
      </c>
      <c r="B2550" s="25" t="s">
        <v>8394</v>
      </c>
      <c r="C2550" s="22"/>
      <c r="D2550" s="26" t="str">
        <f>HYPERLINK("https://kokusho.nijl.ac.jp/biblio/100232367/359")</f>
        <v>https://kokusho.nijl.ac.jp/biblio/100232367/359</v>
      </c>
      <c r="E2550" s="22"/>
      <c r="F2550" s="22"/>
      <c r="G2550" s="22"/>
    </row>
    <row r="2551" spans="1:7" x14ac:dyDescent="0.15">
      <c r="A2551" s="19" t="s">
        <v>6767</v>
      </c>
      <c r="B2551" s="25" t="s">
        <v>8395</v>
      </c>
      <c r="C2551" s="22"/>
      <c r="D2551" s="26" t="str">
        <f>HYPERLINK("https://kokusho.nijl.ac.jp/biblio/100232367/360")</f>
        <v>https://kokusho.nijl.ac.jp/biblio/100232367/360</v>
      </c>
      <c r="E2551" s="22"/>
      <c r="F2551" s="22"/>
      <c r="G2551" s="22"/>
    </row>
    <row r="2552" spans="1:7" x14ac:dyDescent="0.15">
      <c r="A2552" s="19" t="s">
        <v>6767</v>
      </c>
      <c r="B2552" s="25" t="s">
        <v>8396</v>
      </c>
      <c r="C2552" s="22"/>
      <c r="D2552" s="26" t="str">
        <f>HYPERLINK("https://kokusho.nijl.ac.jp/biblio/100232367/361")</f>
        <v>https://kokusho.nijl.ac.jp/biblio/100232367/361</v>
      </c>
      <c r="E2552" s="22"/>
      <c r="F2552" s="22"/>
      <c r="G2552" s="22"/>
    </row>
    <row r="2553" spans="1:7" x14ac:dyDescent="0.15">
      <c r="A2553" s="19" t="s">
        <v>6767</v>
      </c>
      <c r="B2553" s="25" t="s">
        <v>8397</v>
      </c>
      <c r="C2553" s="22"/>
      <c r="D2553" s="26" t="str">
        <f>HYPERLINK("https://kokusho.nijl.ac.jp/biblio/100232367/361")</f>
        <v>https://kokusho.nijl.ac.jp/biblio/100232367/361</v>
      </c>
      <c r="E2553" s="22"/>
      <c r="F2553" s="22"/>
      <c r="G2553" s="22"/>
    </row>
    <row r="2554" spans="1:7" x14ac:dyDescent="0.15">
      <c r="A2554" s="19" t="s">
        <v>6767</v>
      </c>
      <c r="B2554" s="25" t="s">
        <v>8398</v>
      </c>
      <c r="C2554" s="22"/>
      <c r="D2554" s="26" t="str">
        <f>HYPERLINK("https://kokusho.nijl.ac.jp/biblio/100232367/361")</f>
        <v>https://kokusho.nijl.ac.jp/biblio/100232367/361</v>
      </c>
      <c r="E2554" s="22"/>
      <c r="F2554" s="22"/>
      <c r="G2554" s="22"/>
    </row>
    <row r="2555" spans="1:7" x14ac:dyDescent="0.15">
      <c r="A2555" s="19" t="s">
        <v>6767</v>
      </c>
      <c r="B2555" s="25" t="s">
        <v>8399</v>
      </c>
      <c r="C2555" s="22"/>
      <c r="D2555" s="26" t="str">
        <f t="shared" ref="D2555:D2561" si="204">HYPERLINK("https://kokusho.nijl.ac.jp/biblio/100232367/362")</f>
        <v>https://kokusho.nijl.ac.jp/biblio/100232367/362</v>
      </c>
      <c r="E2555" s="22"/>
      <c r="F2555" s="22"/>
      <c r="G2555" s="22"/>
    </row>
    <row r="2556" spans="1:7" x14ac:dyDescent="0.15">
      <c r="A2556" s="19" t="s">
        <v>6767</v>
      </c>
      <c r="B2556" s="25" t="s">
        <v>8400</v>
      </c>
      <c r="C2556" s="22"/>
      <c r="D2556" s="26" t="str">
        <f t="shared" si="204"/>
        <v>https://kokusho.nijl.ac.jp/biblio/100232367/362</v>
      </c>
      <c r="E2556" s="22"/>
      <c r="F2556" s="22"/>
      <c r="G2556" s="22"/>
    </row>
    <row r="2557" spans="1:7" x14ac:dyDescent="0.15">
      <c r="A2557" s="19" t="s">
        <v>6767</v>
      </c>
      <c r="B2557" s="25" t="s">
        <v>8401</v>
      </c>
      <c r="C2557" s="22"/>
      <c r="D2557" s="26" t="str">
        <f t="shared" si="204"/>
        <v>https://kokusho.nijl.ac.jp/biblio/100232367/362</v>
      </c>
      <c r="E2557" s="22"/>
      <c r="F2557" s="22"/>
      <c r="G2557" s="22"/>
    </row>
    <row r="2558" spans="1:7" x14ac:dyDescent="0.15">
      <c r="A2558" s="19" t="s">
        <v>6767</v>
      </c>
      <c r="B2558" s="25" t="s">
        <v>8402</v>
      </c>
      <c r="C2558" s="22"/>
      <c r="D2558" s="26" t="str">
        <f t="shared" si="204"/>
        <v>https://kokusho.nijl.ac.jp/biblio/100232367/362</v>
      </c>
      <c r="E2558" s="22"/>
      <c r="F2558" s="22"/>
      <c r="G2558" s="22"/>
    </row>
    <row r="2559" spans="1:7" x14ac:dyDescent="0.15">
      <c r="A2559" s="19" t="s">
        <v>6767</v>
      </c>
      <c r="B2559" s="25" t="s">
        <v>8403</v>
      </c>
      <c r="C2559" s="22"/>
      <c r="D2559" s="26" t="str">
        <f t="shared" si="204"/>
        <v>https://kokusho.nijl.ac.jp/biblio/100232367/362</v>
      </c>
      <c r="E2559" s="22"/>
      <c r="F2559" s="22"/>
      <c r="G2559" s="22"/>
    </row>
    <row r="2560" spans="1:7" x14ac:dyDescent="0.15">
      <c r="A2560" s="19" t="s">
        <v>6767</v>
      </c>
      <c r="B2560" s="25" t="s">
        <v>6452</v>
      </c>
      <c r="C2560" s="22"/>
      <c r="D2560" s="26" t="str">
        <f t="shared" si="204"/>
        <v>https://kokusho.nijl.ac.jp/biblio/100232367/362</v>
      </c>
      <c r="E2560" s="22"/>
      <c r="F2560" s="22"/>
      <c r="G2560" s="22"/>
    </row>
    <row r="2561" spans="1:7" x14ac:dyDescent="0.15">
      <c r="A2561" s="19" t="s">
        <v>6767</v>
      </c>
      <c r="B2561" s="25" t="s">
        <v>8404</v>
      </c>
      <c r="C2561" s="22"/>
      <c r="D2561" s="26" t="str">
        <f t="shared" si="204"/>
        <v>https://kokusho.nijl.ac.jp/biblio/100232367/362</v>
      </c>
      <c r="E2561" s="22"/>
      <c r="F2561" s="22"/>
      <c r="G2561" s="22"/>
    </row>
    <row r="2562" spans="1:7" x14ac:dyDescent="0.15">
      <c r="A2562" s="19" t="s">
        <v>6767</v>
      </c>
      <c r="B2562" s="25" t="s">
        <v>8405</v>
      </c>
      <c r="C2562" s="22"/>
      <c r="D2562" s="26" t="str">
        <f t="shared" ref="D2562:D2569" si="205">HYPERLINK("https://kokusho.nijl.ac.jp/biblio/100232367/363")</f>
        <v>https://kokusho.nijl.ac.jp/biblio/100232367/363</v>
      </c>
      <c r="E2562" s="22"/>
      <c r="F2562" s="22"/>
      <c r="G2562" s="22"/>
    </row>
    <row r="2563" spans="1:7" x14ac:dyDescent="0.15">
      <c r="A2563" s="19" t="s">
        <v>6767</v>
      </c>
      <c r="B2563" s="25" t="s">
        <v>8406</v>
      </c>
      <c r="C2563" s="22"/>
      <c r="D2563" s="26" t="str">
        <f t="shared" si="205"/>
        <v>https://kokusho.nijl.ac.jp/biblio/100232367/363</v>
      </c>
      <c r="E2563" s="22"/>
      <c r="F2563" s="22"/>
      <c r="G2563" s="22"/>
    </row>
    <row r="2564" spans="1:7" x14ac:dyDescent="0.15">
      <c r="A2564" s="19" t="s">
        <v>6767</v>
      </c>
      <c r="B2564" s="25" t="s">
        <v>8407</v>
      </c>
      <c r="C2564" s="22"/>
      <c r="D2564" s="26" t="str">
        <f t="shared" si="205"/>
        <v>https://kokusho.nijl.ac.jp/biblio/100232367/363</v>
      </c>
      <c r="E2564" s="22"/>
      <c r="F2564" s="22"/>
      <c r="G2564" s="22"/>
    </row>
    <row r="2565" spans="1:7" x14ac:dyDescent="0.15">
      <c r="A2565" s="19" t="s">
        <v>6767</v>
      </c>
      <c r="B2565" s="25" t="s">
        <v>8408</v>
      </c>
      <c r="C2565" s="22"/>
      <c r="D2565" s="26" t="str">
        <f t="shared" si="205"/>
        <v>https://kokusho.nijl.ac.jp/biblio/100232367/363</v>
      </c>
      <c r="E2565" s="22"/>
      <c r="F2565" s="22"/>
      <c r="G2565" s="22"/>
    </row>
    <row r="2566" spans="1:7" x14ac:dyDescent="0.15">
      <c r="A2566" s="19" t="s">
        <v>6767</v>
      </c>
      <c r="B2566" s="25" t="s">
        <v>8409</v>
      </c>
      <c r="C2566" s="22"/>
      <c r="D2566" s="26" t="str">
        <f t="shared" si="205"/>
        <v>https://kokusho.nijl.ac.jp/biblio/100232367/363</v>
      </c>
      <c r="E2566" s="22"/>
      <c r="F2566" s="22"/>
      <c r="G2566" s="22"/>
    </row>
    <row r="2567" spans="1:7" x14ac:dyDescent="0.15">
      <c r="A2567" s="19" t="s">
        <v>6767</v>
      </c>
      <c r="B2567" s="25" t="s">
        <v>8410</v>
      </c>
      <c r="C2567" s="22"/>
      <c r="D2567" s="26" t="str">
        <f t="shared" si="205"/>
        <v>https://kokusho.nijl.ac.jp/biblio/100232367/363</v>
      </c>
      <c r="E2567" s="22"/>
      <c r="F2567" s="22"/>
      <c r="G2567" s="22"/>
    </row>
    <row r="2568" spans="1:7" x14ac:dyDescent="0.15">
      <c r="A2568" s="19" t="s">
        <v>6767</v>
      </c>
      <c r="B2568" s="25" t="s">
        <v>8411</v>
      </c>
      <c r="C2568" s="22"/>
      <c r="D2568" s="26" t="str">
        <f t="shared" si="205"/>
        <v>https://kokusho.nijl.ac.jp/biblio/100232367/363</v>
      </c>
      <c r="E2568" s="22"/>
      <c r="F2568" s="22"/>
      <c r="G2568" s="22"/>
    </row>
    <row r="2569" spans="1:7" x14ac:dyDescent="0.15">
      <c r="A2569" s="19" t="s">
        <v>6767</v>
      </c>
      <c r="B2569" s="25" t="s">
        <v>8412</v>
      </c>
      <c r="C2569" s="22"/>
      <c r="D2569" s="26" t="str">
        <f t="shared" si="205"/>
        <v>https://kokusho.nijl.ac.jp/biblio/100232367/363</v>
      </c>
      <c r="E2569" s="22"/>
      <c r="F2569" s="22"/>
      <c r="G2569" s="22"/>
    </row>
    <row r="2570" spans="1:7" x14ac:dyDescent="0.15">
      <c r="A2570" s="19" t="s">
        <v>6767</v>
      </c>
      <c r="B2570" s="25" t="s">
        <v>6556</v>
      </c>
      <c r="C2570" s="22"/>
      <c r="D2570" s="26" t="str">
        <f t="shared" ref="D2570:D2576" si="206">HYPERLINK("https://kokusho.nijl.ac.jp/biblio/100232367/364")</f>
        <v>https://kokusho.nijl.ac.jp/biblio/100232367/364</v>
      </c>
      <c r="E2570" s="22"/>
      <c r="F2570" s="22"/>
      <c r="G2570" s="22"/>
    </row>
    <row r="2571" spans="1:7" x14ac:dyDescent="0.15">
      <c r="A2571" s="19" t="s">
        <v>6767</v>
      </c>
      <c r="B2571" s="25" t="s">
        <v>8413</v>
      </c>
      <c r="C2571" s="22"/>
      <c r="D2571" s="26" t="str">
        <f t="shared" si="206"/>
        <v>https://kokusho.nijl.ac.jp/biblio/100232367/364</v>
      </c>
      <c r="E2571" s="22"/>
      <c r="F2571" s="22"/>
      <c r="G2571" s="22"/>
    </row>
    <row r="2572" spans="1:7" x14ac:dyDescent="0.15">
      <c r="A2572" s="19" t="s">
        <v>6767</v>
      </c>
      <c r="B2572" s="25" t="s">
        <v>8414</v>
      </c>
      <c r="C2572" s="22"/>
      <c r="D2572" s="26" t="str">
        <f t="shared" si="206"/>
        <v>https://kokusho.nijl.ac.jp/biblio/100232367/364</v>
      </c>
      <c r="E2572" s="22"/>
      <c r="F2572" s="22"/>
      <c r="G2572" s="22"/>
    </row>
    <row r="2573" spans="1:7" x14ac:dyDescent="0.15">
      <c r="A2573" s="19" t="s">
        <v>6767</v>
      </c>
      <c r="B2573" s="25" t="s">
        <v>8415</v>
      </c>
      <c r="C2573" s="22"/>
      <c r="D2573" s="26" t="str">
        <f t="shared" si="206"/>
        <v>https://kokusho.nijl.ac.jp/biblio/100232367/364</v>
      </c>
      <c r="E2573" s="22"/>
      <c r="F2573" s="22"/>
      <c r="G2573" s="22"/>
    </row>
    <row r="2574" spans="1:7" x14ac:dyDescent="0.15">
      <c r="A2574" s="19" t="s">
        <v>6767</v>
      </c>
      <c r="B2574" s="25" t="s">
        <v>8416</v>
      </c>
      <c r="C2574" s="22"/>
      <c r="D2574" s="26" t="str">
        <f t="shared" si="206"/>
        <v>https://kokusho.nijl.ac.jp/biblio/100232367/364</v>
      </c>
      <c r="E2574" s="22"/>
      <c r="F2574" s="22"/>
      <c r="G2574" s="22"/>
    </row>
    <row r="2575" spans="1:7" ht="40.5" x14ac:dyDescent="0.15">
      <c r="A2575" s="19" t="s">
        <v>6767</v>
      </c>
      <c r="B2575" s="25" t="s">
        <v>8417</v>
      </c>
      <c r="C2575" s="22"/>
      <c r="D2575" s="26" t="str">
        <f t="shared" si="206"/>
        <v>https://kokusho.nijl.ac.jp/biblio/100232367/364</v>
      </c>
      <c r="E2575" s="22"/>
      <c r="F2575" s="22"/>
      <c r="G2575" s="22"/>
    </row>
    <row r="2576" spans="1:7" x14ac:dyDescent="0.15">
      <c r="A2576" s="19" t="s">
        <v>6767</v>
      </c>
      <c r="B2576" s="25" t="s">
        <v>8418</v>
      </c>
      <c r="C2576" s="22"/>
      <c r="D2576" s="26" t="str">
        <f t="shared" si="206"/>
        <v>https://kokusho.nijl.ac.jp/biblio/100232367/364</v>
      </c>
      <c r="E2576" s="22"/>
      <c r="F2576" s="22"/>
      <c r="G2576" s="22"/>
    </row>
    <row r="2577" spans="1:7" x14ac:dyDescent="0.15">
      <c r="A2577" s="19" t="s">
        <v>6767</v>
      </c>
      <c r="B2577" s="25" t="s">
        <v>6148</v>
      </c>
      <c r="C2577" s="22"/>
      <c r="D2577" s="26" t="str">
        <f>HYPERLINK("https://kokusho.nijl.ac.jp/biblio/100232367/365")</f>
        <v>https://kokusho.nijl.ac.jp/biblio/100232367/365</v>
      </c>
      <c r="E2577" s="22"/>
      <c r="F2577" s="22"/>
      <c r="G2577" s="22"/>
    </row>
    <row r="2578" spans="1:7" x14ac:dyDescent="0.15">
      <c r="A2578" s="19" t="s">
        <v>6767</v>
      </c>
      <c r="B2578" s="25" t="s">
        <v>8419</v>
      </c>
      <c r="C2578" s="22"/>
      <c r="D2578" s="26" t="str">
        <f>HYPERLINK("https://kokusho.nijl.ac.jp/biblio/100232367/365")</f>
        <v>https://kokusho.nijl.ac.jp/biblio/100232367/365</v>
      </c>
      <c r="E2578" s="22"/>
      <c r="F2578" s="22"/>
      <c r="G2578" s="22"/>
    </row>
    <row r="2579" spans="1:7" ht="54" x14ac:dyDescent="0.15">
      <c r="A2579" s="19" t="s">
        <v>6767</v>
      </c>
      <c r="B2579" s="25" t="s">
        <v>8420</v>
      </c>
      <c r="C2579" s="22"/>
      <c r="D2579" s="26" t="str">
        <f>HYPERLINK("https://kokusho.nijl.ac.jp/biblio/100232367/365")</f>
        <v>https://kokusho.nijl.ac.jp/biblio/100232367/365</v>
      </c>
      <c r="E2579" s="22"/>
      <c r="F2579" s="22"/>
      <c r="G2579" s="22"/>
    </row>
    <row r="2580" spans="1:7" x14ac:dyDescent="0.15">
      <c r="A2580" s="19" t="s">
        <v>6767</v>
      </c>
      <c r="B2580" s="25" t="s">
        <v>8421</v>
      </c>
      <c r="C2580" s="22"/>
      <c r="D2580" s="26" t="str">
        <f>HYPERLINK("https://kokusho.nijl.ac.jp/biblio/100232367/365")</f>
        <v>https://kokusho.nijl.ac.jp/biblio/100232367/365</v>
      </c>
      <c r="E2580" s="22"/>
      <c r="F2580" s="22"/>
      <c r="G2580" s="22"/>
    </row>
    <row r="2581" spans="1:7" x14ac:dyDescent="0.15">
      <c r="A2581" s="19" t="s">
        <v>6767</v>
      </c>
      <c r="B2581" s="25" t="s">
        <v>8422</v>
      </c>
      <c r="C2581" s="22"/>
      <c r="D2581" s="26" t="str">
        <f>HYPERLINK("https://kokusho.nijl.ac.jp/biblio/100232367/365")</f>
        <v>https://kokusho.nijl.ac.jp/biblio/100232367/365</v>
      </c>
      <c r="E2581" s="22"/>
      <c r="F2581" s="22"/>
      <c r="G2581" s="22"/>
    </row>
    <row r="2582" spans="1:7" x14ac:dyDescent="0.15">
      <c r="A2582" s="19" t="s">
        <v>6767</v>
      </c>
      <c r="B2582" s="25" t="s">
        <v>8423</v>
      </c>
      <c r="C2582" s="22"/>
      <c r="D2582" s="26" t="str">
        <f>HYPERLINK("https://kokusho.nijl.ac.jp/biblio/100232367/366")</f>
        <v>https://kokusho.nijl.ac.jp/biblio/100232367/366</v>
      </c>
      <c r="E2582" s="22"/>
      <c r="F2582" s="22"/>
      <c r="G2582" s="22"/>
    </row>
    <row r="2583" spans="1:7" x14ac:dyDescent="0.15">
      <c r="A2583" s="19" t="s">
        <v>6767</v>
      </c>
      <c r="B2583" s="25" t="s">
        <v>8424</v>
      </c>
      <c r="C2583" s="22"/>
      <c r="D2583" s="26" t="str">
        <f>HYPERLINK("https://kokusho.nijl.ac.jp/biblio/100232367/366")</f>
        <v>https://kokusho.nijl.ac.jp/biblio/100232367/366</v>
      </c>
      <c r="E2583" s="22"/>
      <c r="F2583" s="22"/>
      <c r="G2583" s="22"/>
    </row>
    <row r="2584" spans="1:7" x14ac:dyDescent="0.15">
      <c r="A2584" s="19" t="s">
        <v>6767</v>
      </c>
      <c r="B2584" s="25" t="s">
        <v>8425</v>
      </c>
      <c r="C2584" s="22"/>
      <c r="D2584" s="26" t="str">
        <f>HYPERLINK("https://kokusho.nijl.ac.jp/biblio/100232367/366")</f>
        <v>https://kokusho.nijl.ac.jp/biblio/100232367/366</v>
      </c>
      <c r="E2584" s="22"/>
      <c r="F2584" s="22"/>
      <c r="G2584" s="22"/>
    </row>
    <row r="2585" spans="1:7" x14ac:dyDescent="0.15">
      <c r="A2585" s="19" t="s">
        <v>6767</v>
      </c>
      <c r="B2585" s="25" t="s">
        <v>6127</v>
      </c>
      <c r="C2585" s="22"/>
      <c r="D2585" s="26" t="str">
        <f>HYPERLINK("https://kokusho.nijl.ac.jp/biblio/100232367/366")</f>
        <v>https://kokusho.nijl.ac.jp/biblio/100232367/366</v>
      </c>
      <c r="E2585" s="22"/>
      <c r="F2585" s="22"/>
      <c r="G2585" s="22"/>
    </row>
    <row r="2586" spans="1:7" ht="18.75" x14ac:dyDescent="0.15">
      <c r="A2586" s="19" t="s">
        <v>6767</v>
      </c>
      <c r="B2586" s="25" t="s">
        <v>8974</v>
      </c>
      <c r="C2586" s="22"/>
      <c r="D2586" s="26" t="str">
        <f>HYPERLINK("https://kokusho.nijl.ac.jp/biblio/100232367/367")</f>
        <v>https://kokusho.nijl.ac.jp/biblio/100232367/367</v>
      </c>
      <c r="E2586" s="22"/>
      <c r="F2586" s="22"/>
      <c r="G2586" s="22"/>
    </row>
    <row r="2587" spans="1:7" x14ac:dyDescent="0.15">
      <c r="A2587" s="19" t="s">
        <v>6767</v>
      </c>
      <c r="B2587" s="25" t="s">
        <v>8426</v>
      </c>
      <c r="C2587" s="22"/>
      <c r="D2587" s="26" t="str">
        <f>HYPERLINK("https://kokusho.nijl.ac.jp/biblio/100232367/367")</f>
        <v>https://kokusho.nijl.ac.jp/biblio/100232367/367</v>
      </c>
      <c r="E2587" s="22"/>
      <c r="F2587" s="22"/>
      <c r="G2587" s="22"/>
    </row>
    <row r="2588" spans="1:7" ht="27" x14ac:dyDescent="0.15">
      <c r="A2588" s="19" t="s">
        <v>6767</v>
      </c>
      <c r="B2588" s="25" t="s">
        <v>8427</v>
      </c>
      <c r="C2588" s="22"/>
      <c r="D2588" s="26" t="str">
        <f>HYPERLINK("https://kokusho.nijl.ac.jp/biblio/100232367/368")</f>
        <v>https://kokusho.nijl.ac.jp/biblio/100232367/368</v>
      </c>
      <c r="E2588" s="22"/>
      <c r="F2588" s="22"/>
      <c r="G2588" s="22"/>
    </row>
    <row r="2589" spans="1:7" x14ac:dyDescent="0.15">
      <c r="A2589" s="19" t="s">
        <v>6767</v>
      </c>
      <c r="B2589" s="25" t="s">
        <v>8428</v>
      </c>
      <c r="C2589" s="22"/>
      <c r="D2589" s="26" t="str">
        <f>HYPERLINK("https://kokusho.nijl.ac.jp/biblio/100232367/368")</f>
        <v>https://kokusho.nijl.ac.jp/biblio/100232367/368</v>
      </c>
      <c r="E2589" s="22"/>
      <c r="F2589" s="22"/>
      <c r="G2589" s="22"/>
    </row>
    <row r="2590" spans="1:7" x14ac:dyDescent="0.15">
      <c r="A2590" s="19" t="s">
        <v>6767</v>
      </c>
      <c r="B2590" s="25" t="s">
        <v>8429</v>
      </c>
      <c r="C2590" s="22"/>
      <c r="D2590" s="26" t="str">
        <f>HYPERLINK("https://kokusho.nijl.ac.jp/biblio/100232367/368")</f>
        <v>https://kokusho.nijl.ac.jp/biblio/100232367/368</v>
      </c>
      <c r="E2590" s="22"/>
      <c r="F2590" s="22"/>
      <c r="G2590" s="22"/>
    </row>
    <row r="2591" spans="1:7" ht="32.25" x14ac:dyDescent="0.15">
      <c r="A2591" s="19" t="s">
        <v>6767</v>
      </c>
      <c r="B2591" s="25" t="s">
        <v>8975</v>
      </c>
      <c r="C2591" s="22"/>
      <c r="D2591" s="26" t="str">
        <f t="shared" ref="D2591:D2596" si="207">HYPERLINK("https://kokusho.nijl.ac.jp/biblio/100232367/369")</f>
        <v>https://kokusho.nijl.ac.jp/biblio/100232367/369</v>
      </c>
      <c r="E2591" s="22"/>
      <c r="F2591" s="22"/>
      <c r="G2591" s="22"/>
    </row>
    <row r="2592" spans="1:7" x14ac:dyDescent="0.15">
      <c r="A2592" s="19" t="s">
        <v>6767</v>
      </c>
      <c r="B2592" s="25" t="s">
        <v>8430</v>
      </c>
      <c r="C2592" s="22"/>
      <c r="D2592" s="26" t="str">
        <f t="shared" si="207"/>
        <v>https://kokusho.nijl.ac.jp/biblio/100232367/369</v>
      </c>
      <c r="E2592" s="22"/>
      <c r="F2592" s="22"/>
      <c r="G2592" s="22"/>
    </row>
    <row r="2593" spans="1:7" x14ac:dyDescent="0.15">
      <c r="A2593" s="19" t="s">
        <v>6767</v>
      </c>
      <c r="B2593" s="25" t="s">
        <v>8431</v>
      </c>
      <c r="C2593" s="22"/>
      <c r="D2593" s="26" t="str">
        <f t="shared" si="207"/>
        <v>https://kokusho.nijl.ac.jp/biblio/100232367/369</v>
      </c>
      <c r="E2593" s="22"/>
      <c r="F2593" s="22"/>
      <c r="G2593" s="22"/>
    </row>
    <row r="2594" spans="1:7" x14ac:dyDescent="0.15">
      <c r="A2594" s="19" t="s">
        <v>6767</v>
      </c>
      <c r="B2594" s="25" t="s">
        <v>8432</v>
      </c>
      <c r="C2594" s="22"/>
      <c r="D2594" s="26" t="str">
        <f t="shared" si="207"/>
        <v>https://kokusho.nijl.ac.jp/biblio/100232367/369</v>
      </c>
      <c r="E2594" s="22"/>
      <c r="F2594" s="22"/>
      <c r="G2594" s="22"/>
    </row>
    <row r="2595" spans="1:7" x14ac:dyDescent="0.15">
      <c r="A2595" s="19" t="s">
        <v>6767</v>
      </c>
      <c r="B2595" s="25" t="s">
        <v>8433</v>
      </c>
      <c r="C2595" s="22"/>
      <c r="D2595" s="26" t="str">
        <f t="shared" si="207"/>
        <v>https://kokusho.nijl.ac.jp/biblio/100232367/369</v>
      </c>
      <c r="E2595" s="22"/>
      <c r="F2595" s="22"/>
      <c r="G2595" s="22"/>
    </row>
    <row r="2596" spans="1:7" x14ac:dyDescent="0.15">
      <c r="A2596" s="19" t="s">
        <v>6767</v>
      </c>
      <c r="B2596" s="25" t="s">
        <v>6140</v>
      </c>
      <c r="C2596" s="22"/>
      <c r="D2596" s="26" t="str">
        <f t="shared" si="207"/>
        <v>https://kokusho.nijl.ac.jp/biblio/100232367/369</v>
      </c>
      <c r="E2596" s="22"/>
      <c r="F2596" s="22"/>
      <c r="G2596" s="22"/>
    </row>
    <row r="2597" spans="1:7" x14ac:dyDescent="0.15">
      <c r="A2597" s="19" t="s">
        <v>6767</v>
      </c>
      <c r="B2597" s="25" t="s">
        <v>8434</v>
      </c>
      <c r="C2597" s="22"/>
      <c r="D2597" s="26" t="str">
        <f t="shared" ref="D2597:D2604" si="208">HYPERLINK("https://kokusho.nijl.ac.jp/biblio/100232367/370")</f>
        <v>https://kokusho.nijl.ac.jp/biblio/100232367/370</v>
      </c>
      <c r="E2597" s="22"/>
      <c r="F2597" s="22"/>
      <c r="G2597" s="22"/>
    </row>
    <row r="2598" spans="1:7" x14ac:dyDescent="0.15">
      <c r="A2598" s="19" t="s">
        <v>6767</v>
      </c>
      <c r="B2598" s="25" t="s">
        <v>8435</v>
      </c>
      <c r="C2598" s="22"/>
      <c r="D2598" s="26" t="str">
        <f t="shared" si="208"/>
        <v>https://kokusho.nijl.ac.jp/biblio/100232367/370</v>
      </c>
      <c r="E2598" s="22"/>
      <c r="F2598" s="22"/>
      <c r="G2598" s="22"/>
    </row>
    <row r="2599" spans="1:7" x14ac:dyDescent="0.15">
      <c r="A2599" s="19" t="s">
        <v>6767</v>
      </c>
      <c r="B2599" s="25" t="s">
        <v>8436</v>
      </c>
      <c r="C2599" s="22"/>
      <c r="D2599" s="26" t="str">
        <f t="shared" si="208"/>
        <v>https://kokusho.nijl.ac.jp/biblio/100232367/370</v>
      </c>
      <c r="E2599" s="22"/>
      <c r="F2599" s="22"/>
      <c r="G2599" s="22"/>
    </row>
    <row r="2600" spans="1:7" x14ac:dyDescent="0.15">
      <c r="A2600" s="19" t="s">
        <v>6767</v>
      </c>
      <c r="B2600" s="25" t="s">
        <v>8437</v>
      </c>
      <c r="C2600" s="22"/>
      <c r="D2600" s="26" t="str">
        <f t="shared" si="208"/>
        <v>https://kokusho.nijl.ac.jp/biblio/100232367/370</v>
      </c>
      <c r="E2600" s="22"/>
      <c r="F2600" s="22"/>
      <c r="G2600" s="22"/>
    </row>
    <row r="2601" spans="1:7" x14ac:dyDescent="0.15">
      <c r="A2601" s="19" t="s">
        <v>6767</v>
      </c>
      <c r="B2601" s="25" t="s">
        <v>8438</v>
      </c>
      <c r="C2601" s="22"/>
      <c r="D2601" s="26" t="str">
        <f t="shared" si="208"/>
        <v>https://kokusho.nijl.ac.jp/biblio/100232367/370</v>
      </c>
      <c r="E2601" s="22"/>
      <c r="F2601" s="22"/>
      <c r="G2601" s="22"/>
    </row>
    <row r="2602" spans="1:7" x14ac:dyDescent="0.15">
      <c r="A2602" s="19" t="s">
        <v>6767</v>
      </c>
      <c r="B2602" s="25" t="s">
        <v>8439</v>
      </c>
      <c r="C2602" s="22"/>
      <c r="D2602" s="26" t="str">
        <f t="shared" si="208"/>
        <v>https://kokusho.nijl.ac.jp/biblio/100232367/370</v>
      </c>
      <c r="E2602" s="22"/>
      <c r="F2602" s="22"/>
      <c r="G2602" s="22"/>
    </row>
    <row r="2603" spans="1:7" x14ac:dyDescent="0.15">
      <c r="A2603" s="19" t="s">
        <v>6767</v>
      </c>
      <c r="B2603" s="25" t="s">
        <v>8440</v>
      </c>
      <c r="C2603" s="22"/>
      <c r="D2603" s="26" t="str">
        <f t="shared" si="208"/>
        <v>https://kokusho.nijl.ac.jp/biblio/100232367/370</v>
      </c>
      <c r="E2603" s="22"/>
      <c r="F2603" s="22"/>
      <c r="G2603" s="22"/>
    </row>
    <row r="2604" spans="1:7" x14ac:dyDescent="0.15">
      <c r="A2604" s="19" t="s">
        <v>6767</v>
      </c>
      <c r="B2604" s="25" t="s">
        <v>8441</v>
      </c>
      <c r="C2604" s="22"/>
      <c r="D2604" s="26" t="str">
        <f t="shared" si="208"/>
        <v>https://kokusho.nijl.ac.jp/biblio/100232367/370</v>
      </c>
      <c r="E2604" s="22"/>
      <c r="F2604" s="22"/>
      <c r="G2604" s="22"/>
    </row>
    <row r="2605" spans="1:7" x14ac:dyDescent="0.15">
      <c r="A2605" s="19" t="s">
        <v>6767</v>
      </c>
      <c r="B2605" s="25" t="s">
        <v>8442</v>
      </c>
      <c r="C2605" s="22"/>
      <c r="D2605" s="26" t="str">
        <f t="shared" ref="D2605:D2611" si="209">HYPERLINK("https://kokusho.nijl.ac.jp/biblio/100232367/371")</f>
        <v>https://kokusho.nijl.ac.jp/biblio/100232367/371</v>
      </c>
      <c r="E2605" s="22"/>
      <c r="F2605" s="22"/>
      <c r="G2605" s="22"/>
    </row>
    <row r="2606" spans="1:7" ht="18.75" x14ac:dyDescent="0.15">
      <c r="A2606" s="19" t="s">
        <v>6767</v>
      </c>
      <c r="B2606" s="25" t="s">
        <v>8976</v>
      </c>
      <c r="C2606" s="22"/>
      <c r="D2606" s="26" t="str">
        <f t="shared" si="209"/>
        <v>https://kokusho.nijl.ac.jp/biblio/100232367/371</v>
      </c>
      <c r="E2606" s="22"/>
      <c r="F2606" s="22"/>
      <c r="G2606" s="22"/>
    </row>
    <row r="2607" spans="1:7" x14ac:dyDescent="0.15">
      <c r="A2607" s="19" t="s">
        <v>6767</v>
      </c>
      <c r="B2607" s="25" t="s">
        <v>8443</v>
      </c>
      <c r="C2607" s="22"/>
      <c r="D2607" s="26" t="str">
        <f t="shared" si="209"/>
        <v>https://kokusho.nijl.ac.jp/biblio/100232367/371</v>
      </c>
      <c r="E2607" s="22"/>
      <c r="F2607" s="22"/>
      <c r="G2607" s="22"/>
    </row>
    <row r="2608" spans="1:7" x14ac:dyDescent="0.15">
      <c r="A2608" s="19" t="s">
        <v>6767</v>
      </c>
      <c r="B2608" s="25" t="s">
        <v>8444</v>
      </c>
      <c r="C2608" s="22"/>
      <c r="D2608" s="26" t="str">
        <f t="shared" si="209"/>
        <v>https://kokusho.nijl.ac.jp/biblio/100232367/371</v>
      </c>
      <c r="E2608" s="22"/>
      <c r="F2608" s="22"/>
      <c r="G2608" s="22"/>
    </row>
    <row r="2609" spans="1:7" x14ac:dyDescent="0.15">
      <c r="A2609" s="19" t="s">
        <v>6767</v>
      </c>
      <c r="B2609" s="25" t="s">
        <v>8445</v>
      </c>
      <c r="C2609" s="22"/>
      <c r="D2609" s="26" t="str">
        <f t="shared" si="209"/>
        <v>https://kokusho.nijl.ac.jp/biblio/100232367/371</v>
      </c>
      <c r="E2609" s="22"/>
      <c r="F2609" s="22"/>
      <c r="G2609" s="22"/>
    </row>
    <row r="2610" spans="1:7" x14ac:dyDescent="0.15">
      <c r="A2610" s="19" t="s">
        <v>6767</v>
      </c>
      <c r="B2610" s="25" t="s">
        <v>8446</v>
      </c>
      <c r="C2610" s="22"/>
      <c r="D2610" s="26" t="str">
        <f t="shared" si="209"/>
        <v>https://kokusho.nijl.ac.jp/biblio/100232367/371</v>
      </c>
      <c r="E2610" s="22"/>
      <c r="F2610" s="22"/>
      <c r="G2610" s="22"/>
    </row>
    <row r="2611" spans="1:7" x14ac:dyDescent="0.15">
      <c r="A2611" s="19" t="s">
        <v>6767</v>
      </c>
      <c r="B2611" s="25" t="s">
        <v>8447</v>
      </c>
      <c r="C2611" s="22"/>
      <c r="D2611" s="26" t="str">
        <f t="shared" si="209"/>
        <v>https://kokusho.nijl.ac.jp/biblio/100232367/371</v>
      </c>
      <c r="E2611" s="22"/>
      <c r="F2611" s="22"/>
      <c r="G2611" s="22"/>
    </row>
    <row r="2612" spans="1:7" x14ac:dyDescent="0.15">
      <c r="A2612" s="19" t="s">
        <v>6767</v>
      </c>
      <c r="B2612" s="25" t="s">
        <v>8448</v>
      </c>
      <c r="C2612" s="22"/>
      <c r="D2612" s="26" t="str">
        <f t="shared" ref="D2612:D2617" si="210">HYPERLINK("https://kokusho.nijl.ac.jp/biblio/100232367/372")</f>
        <v>https://kokusho.nijl.ac.jp/biblio/100232367/372</v>
      </c>
      <c r="E2612" s="22"/>
      <c r="F2612" s="22"/>
      <c r="G2612" s="22"/>
    </row>
    <row r="2613" spans="1:7" x14ac:dyDescent="0.15">
      <c r="A2613" s="19" t="s">
        <v>6767</v>
      </c>
      <c r="B2613" s="25" t="s">
        <v>8449</v>
      </c>
      <c r="C2613" s="22"/>
      <c r="D2613" s="26" t="str">
        <f t="shared" si="210"/>
        <v>https://kokusho.nijl.ac.jp/biblio/100232367/372</v>
      </c>
      <c r="E2613" s="22"/>
      <c r="F2613" s="22"/>
      <c r="G2613" s="22"/>
    </row>
    <row r="2614" spans="1:7" x14ac:dyDescent="0.15">
      <c r="A2614" s="19" t="s">
        <v>6767</v>
      </c>
      <c r="B2614" s="25" t="s">
        <v>8450</v>
      </c>
      <c r="C2614" s="22"/>
      <c r="D2614" s="26" t="str">
        <f t="shared" si="210"/>
        <v>https://kokusho.nijl.ac.jp/biblio/100232367/372</v>
      </c>
      <c r="E2614" s="22"/>
      <c r="F2614" s="22"/>
      <c r="G2614" s="22"/>
    </row>
    <row r="2615" spans="1:7" x14ac:dyDescent="0.15">
      <c r="A2615" s="19" t="s">
        <v>6767</v>
      </c>
      <c r="B2615" s="25" t="s">
        <v>8451</v>
      </c>
      <c r="C2615" s="22"/>
      <c r="D2615" s="26" t="str">
        <f t="shared" si="210"/>
        <v>https://kokusho.nijl.ac.jp/biblio/100232367/372</v>
      </c>
      <c r="E2615" s="22"/>
      <c r="F2615" s="22"/>
      <c r="G2615" s="22"/>
    </row>
    <row r="2616" spans="1:7" x14ac:dyDescent="0.15">
      <c r="A2616" s="19" t="s">
        <v>6767</v>
      </c>
      <c r="B2616" s="25" t="s">
        <v>8452</v>
      </c>
      <c r="C2616" s="22"/>
      <c r="D2616" s="26" t="str">
        <f t="shared" si="210"/>
        <v>https://kokusho.nijl.ac.jp/biblio/100232367/372</v>
      </c>
      <c r="E2616" s="22"/>
      <c r="F2616" s="22"/>
      <c r="G2616" s="22"/>
    </row>
    <row r="2617" spans="1:7" x14ac:dyDescent="0.15">
      <c r="A2617" s="19" t="s">
        <v>6767</v>
      </c>
      <c r="B2617" s="25" t="s">
        <v>8453</v>
      </c>
      <c r="C2617" s="22"/>
      <c r="D2617" s="26" t="str">
        <f t="shared" si="210"/>
        <v>https://kokusho.nijl.ac.jp/biblio/100232367/372</v>
      </c>
      <c r="E2617" s="22"/>
      <c r="F2617" s="22"/>
      <c r="G2617" s="22"/>
    </row>
    <row r="2618" spans="1:7" x14ac:dyDescent="0.15">
      <c r="A2618" s="19" t="s">
        <v>6767</v>
      </c>
      <c r="B2618" s="25" t="s">
        <v>8454</v>
      </c>
      <c r="C2618" s="22"/>
      <c r="D2618" s="26" t="str">
        <f t="shared" ref="D2618:D2624" si="211">HYPERLINK("https://kokusho.nijl.ac.jp/biblio/100232367/373")</f>
        <v>https://kokusho.nijl.ac.jp/biblio/100232367/373</v>
      </c>
      <c r="E2618" s="22"/>
      <c r="F2618" s="22"/>
      <c r="G2618" s="22"/>
    </row>
    <row r="2619" spans="1:7" x14ac:dyDescent="0.15">
      <c r="A2619" s="19" t="s">
        <v>6767</v>
      </c>
      <c r="B2619" s="25" t="s">
        <v>8455</v>
      </c>
      <c r="C2619" s="22"/>
      <c r="D2619" s="26" t="str">
        <f t="shared" si="211"/>
        <v>https://kokusho.nijl.ac.jp/biblio/100232367/373</v>
      </c>
      <c r="E2619" s="22"/>
      <c r="F2619" s="22"/>
      <c r="G2619" s="22"/>
    </row>
    <row r="2620" spans="1:7" x14ac:dyDescent="0.15">
      <c r="A2620" s="19" t="s">
        <v>6767</v>
      </c>
      <c r="B2620" s="25" t="s">
        <v>8456</v>
      </c>
      <c r="C2620" s="22"/>
      <c r="D2620" s="26" t="str">
        <f t="shared" si="211"/>
        <v>https://kokusho.nijl.ac.jp/biblio/100232367/373</v>
      </c>
      <c r="E2620" s="22"/>
      <c r="F2620" s="22"/>
      <c r="G2620" s="22"/>
    </row>
    <row r="2621" spans="1:7" x14ac:dyDescent="0.15">
      <c r="A2621" s="19" t="s">
        <v>6767</v>
      </c>
      <c r="B2621" s="25" t="s">
        <v>8457</v>
      </c>
      <c r="C2621" s="22"/>
      <c r="D2621" s="26" t="str">
        <f t="shared" si="211"/>
        <v>https://kokusho.nijl.ac.jp/biblio/100232367/373</v>
      </c>
      <c r="E2621" s="22"/>
      <c r="F2621" s="22"/>
      <c r="G2621" s="22"/>
    </row>
    <row r="2622" spans="1:7" x14ac:dyDescent="0.15">
      <c r="A2622" s="19" t="s">
        <v>6767</v>
      </c>
      <c r="B2622" s="25" t="s">
        <v>8458</v>
      </c>
      <c r="C2622" s="22"/>
      <c r="D2622" s="26" t="str">
        <f t="shared" si="211"/>
        <v>https://kokusho.nijl.ac.jp/biblio/100232367/373</v>
      </c>
      <c r="E2622" s="22"/>
      <c r="F2622" s="22"/>
      <c r="G2622" s="22"/>
    </row>
    <row r="2623" spans="1:7" x14ac:dyDescent="0.15">
      <c r="A2623" s="19" t="s">
        <v>6767</v>
      </c>
      <c r="B2623" s="25" t="s">
        <v>8459</v>
      </c>
      <c r="C2623" s="22"/>
      <c r="D2623" s="26" t="str">
        <f t="shared" si="211"/>
        <v>https://kokusho.nijl.ac.jp/biblio/100232367/373</v>
      </c>
      <c r="E2623" s="22"/>
      <c r="F2623" s="22"/>
      <c r="G2623" s="22"/>
    </row>
    <row r="2624" spans="1:7" x14ac:dyDescent="0.15">
      <c r="A2624" s="19" t="s">
        <v>6767</v>
      </c>
      <c r="B2624" s="25" t="s">
        <v>8460</v>
      </c>
      <c r="C2624" s="22"/>
      <c r="D2624" s="26" t="str">
        <f t="shared" si="211"/>
        <v>https://kokusho.nijl.ac.jp/biblio/100232367/373</v>
      </c>
      <c r="E2624" s="22"/>
      <c r="F2624" s="22"/>
      <c r="G2624" s="22"/>
    </row>
    <row r="2625" spans="1:7" x14ac:dyDescent="0.15">
      <c r="A2625" s="19" t="s">
        <v>6767</v>
      </c>
      <c r="B2625" s="25" t="s">
        <v>8461</v>
      </c>
      <c r="C2625" s="22"/>
      <c r="D2625" s="26" t="str">
        <f t="shared" ref="D2625:D2632" si="212">HYPERLINK("https://kokusho.nijl.ac.jp/biblio/100232367/374")</f>
        <v>https://kokusho.nijl.ac.jp/biblio/100232367/374</v>
      </c>
      <c r="E2625" s="22"/>
      <c r="F2625" s="22"/>
      <c r="G2625" s="22"/>
    </row>
    <row r="2626" spans="1:7" x14ac:dyDescent="0.15">
      <c r="A2626" s="19" t="s">
        <v>6767</v>
      </c>
      <c r="B2626" s="25" t="s">
        <v>8462</v>
      </c>
      <c r="C2626" s="22"/>
      <c r="D2626" s="26" t="str">
        <f t="shared" si="212"/>
        <v>https://kokusho.nijl.ac.jp/biblio/100232367/374</v>
      </c>
      <c r="E2626" s="22"/>
      <c r="F2626" s="22"/>
      <c r="G2626" s="22"/>
    </row>
    <row r="2627" spans="1:7" x14ac:dyDescent="0.15">
      <c r="A2627" s="19" t="s">
        <v>6767</v>
      </c>
      <c r="B2627" s="25" t="s">
        <v>8463</v>
      </c>
      <c r="C2627" s="22"/>
      <c r="D2627" s="26" t="str">
        <f t="shared" si="212"/>
        <v>https://kokusho.nijl.ac.jp/biblio/100232367/374</v>
      </c>
      <c r="E2627" s="22"/>
      <c r="F2627" s="22"/>
      <c r="G2627" s="22"/>
    </row>
    <row r="2628" spans="1:7" x14ac:dyDescent="0.15">
      <c r="A2628" s="19" t="s">
        <v>6767</v>
      </c>
      <c r="B2628" s="25" t="s">
        <v>8464</v>
      </c>
      <c r="C2628" s="22"/>
      <c r="D2628" s="26" t="str">
        <f t="shared" si="212"/>
        <v>https://kokusho.nijl.ac.jp/biblio/100232367/374</v>
      </c>
      <c r="E2628" s="22"/>
      <c r="F2628" s="22"/>
      <c r="G2628" s="22"/>
    </row>
    <row r="2629" spans="1:7" x14ac:dyDescent="0.15">
      <c r="A2629" s="19" t="s">
        <v>6767</v>
      </c>
      <c r="B2629" s="25" t="s">
        <v>8465</v>
      </c>
      <c r="C2629" s="22"/>
      <c r="D2629" s="26" t="str">
        <f t="shared" si="212"/>
        <v>https://kokusho.nijl.ac.jp/biblio/100232367/374</v>
      </c>
      <c r="E2629" s="22"/>
      <c r="F2629" s="22"/>
      <c r="G2629" s="22"/>
    </row>
    <row r="2630" spans="1:7" x14ac:dyDescent="0.15">
      <c r="A2630" s="19" t="s">
        <v>6767</v>
      </c>
      <c r="B2630" s="25" t="s">
        <v>8466</v>
      </c>
      <c r="C2630" s="22"/>
      <c r="D2630" s="26" t="str">
        <f t="shared" si="212"/>
        <v>https://kokusho.nijl.ac.jp/biblio/100232367/374</v>
      </c>
      <c r="E2630" s="22"/>
      <c r="F2630" s="22"/>
      <c r="G2630" s="22"/>
    </row>
    <row r="2631" spans="1:7" x14ac:dyDescent="0.15">
      <c r="A2631" s="19" t="s">
        <v>6767</v>
      </c>
      <c r="B2631" s="25" t="s">
        <v>8467</v>
      </c>
      <c r="C2631" s="22"/>
      <c r="D2631" s="26" t="str">
        <f t="shared" si="212"/>
        <v>https://kokusho.nijl.ac.jp/biblio/100232367/374</v>
      </c>
      <c r="E2631" s="22"/>
      <c r="F2631" s="22"/>
      <c r="G2631" s="22"/>
    </row>
    <row r="2632" spans="1:7" x14ac:dyDescent="0.15">
      <c r="A2632" s="19" t="s">
        <v>6767</v>
      </c>
      <c r="B2632" s="25" t="s">
        <v>8468</v>
      </c>
      <c r="C2632" s="22"/>
      <c r="D2632" s="26" t="str">
        <f t="shared" si="212"/>
        <v>https://kokusho.nijl.ac.jp/biblio/100232367/374</v>
      </c>
      <c r="E2632" s="22"/>
      <c r="F2632" s="22"/>
      <c r="G2632" s="22"/>
    </row>
    <row r="2633" spans="1:7" x14ac:dyDescent="0.15">
      <c r="A2633" s="19" t="s">
        <v>6767</v>
      </c>
      <c r="B2633" s="25" t="s">
        <v>8469</v>
      </c>
      <c r="C2633" s="22"/>
      <c r="D2633" s="26" t="str">
        <f t="shared" ref="D2633:D2643" si="213">HYPERLINK("https://kokusho.nijl.ac.jp/biblio/100232367/375")</f>
        <v>https://kokusho.nijl.ac.jp/biblio/100232367/375</v>
      </c>
      <c r="E2633" s="22"/>
      <c r="F2633" s="22"/>
      <c r="G2633" s="22"/>
    </row>
    <row r="2634" spans="1:7" x14ac:dyDescent="0.15">
      <c r="A2634" s="19" t="s">
        <v>6767</v>
      </c>
      <c r="B2634" s="25" t="s">
        <v>8470</v>
      </c>
      <c r="C2634" s="22"/>
      <c r="D2634" s="26" t="str">
        <f t="shared" si="213"/>
        <v>https://kokusho.nijl.ac.jp/biblio/100232367/375</v>
      </c>
      <c r="E2634" s="22"/>
      <c r="F2634" s="22"/>
      <c r="G2634" s="22"/>
    </row>
    <row r="2635" spans="1:7" x14ac:dyDescent="0.15">
      <c r="A2635" s="19" t="s">
        <v>6767</v>
      </c>
      <c r="B2635" s="25" t="s">
        <v>8471</v>
      </c>
      <c r="C2635" s="22"/>
      <c r="D2635" s="26" t="str">
        <f t="shared" si="213"/>
        <v>https://kokusho.nijl.ac.jp/biblio/100232367/375</v>
      </c>
      <c r="E2635" s="22"/>
      <c r="F2635" s="22"/>
      <c r="G2635" s="22"/>
    </row>
    <row r="2636" spans="1:7" x14ac:dyDescent="0.15">
      <c r="A2636" s="19" t="s">
        <v>6767</v>
      </c>
      <c r="B2636" s="25" t="s">
        <v>8472</v>
      </c>
      <c r="C2636" s="22"/>
      <c r="D2636" s="26" t="str">
        <f t="shared" si="213"/>
        <v>https://kokusho.nijl.ac.jp/biblio/100232367/375</v>
      </c>
      <c r="E2636" s="22"/>
      <c r="F2636" s="22"/>
      <c r="G2636" s="22"/>
    </row>
    <row r="2637" spans="1:7" x14ac:dyDescent="0.15">
      <c r="A2637" s="19" t="s">
        <v>6767</v>
      </c>
      <c r="B2637" s="25" t="s">
        <v>8473</v>
      </c>
      <c r="C2637" s="22"/>
      <c r="D2637" s="26" t="str">
        <f t="shared" si="213"/>
        <v>https://kokusho.nijl.ac.jp/biblio/100232367/375</v>
      </c>
      <c r="E2637" s="22"/>
      <c r="F2637" s="22"/>
      <c r="G2637" s="22"/>
    </row>
    <row r="2638" spans="1:7" x14ac:dyDescent="0.15">
      <c r="A2638" s="19" t="s">
        <v>6767</v>
      </c>
      <c r="B2638" s="25" t="s">
        <v>8474</v>
      </c>
      <c r="C2638" s="22"/>
      <c r="D2638" s="26" t="str">
        <f t="shared" si="213"/>
        <v>https://kokusho.nijl.ac.jp/biblio/100232367/375</v>
      </c>
      <c r="E2638" s="22"/>
      <c r="F2638" s="22"/>
      <c r="G2638" s="22"/>
    </row>
    <row r="2639" spans="1:7" x14ac:dyDescent="0.15">
      <c r="A2639" s="19" t="s">
        <v>6767</v>
      </c>
      <c r="B2639" s="25" t="s">
        <v>8475</v>
      </c>
      <c r="C2639" s="22"/>
      <c r="D2639" s="26" t="str">
        <f t="shared" si="213"/>
        <v>https://kokusho.nijl.ac.jp/biblio/100232367/375</v>
      </c>
      <c r="E2639" s="22"/>
      <c r="F2639" s="22"/>
      <c r="G2639" s="22"/>
    </row>
    <row r="2640" spans="1:7" x14ac:dyDescent="0.15">
      <c r="A2640" s="19" t="s">
        <v>6767</v>
      </c>
      <c r="B2640" s="25" t="s">
        <v>8476</v>
      </c>
      <c r="C2640" s="22"/>
      <c r="D2640" s="26" t="str">
        <f t="shared" si="213"/>
        <v>https://kokusho.nijl.ac.jp/biblio/100232367/375</v>
      </c>
      <c r="E2640" s="22"/>
      <c r="F2640" s="22"/>
      <c r="G2640" s="22"/>
    </row>
    <row r="2641" spans="1:7" x14ac:dyDescent="0.15">
      <c r="A2641" s="19" t="s">
        <v>6767</v>
      </c>
      <c r="B2641" s="25" t="s">
        <v>8477</v>
      </c>
      <c r="C2641" s="22"/>
      <c r="D2641" s="26" t="str">
        <f t="shared" si="213"/>
        <v>https://kokusho.nijl.ac.jp/biblio/100232367/375</v>
      </c>
      <c r="E2641" s="22"/>
      <c r="F2641" s="22"/>
      <c r="G2641" s="22"/>
    </row>
    <row r="2642" spans="1:7" x14ac:dyDescent="0.15">
      <c r="A2642" s="19" t="s">
        <v>6767</v>
      </c>
      <c r="B2642" s="25" t="s">
        <v>8478</v>
      </c>
      <c r="C2642" s="22"/>
      <c r="D2642" s="26" t="str">
        <f t="shared" si="213"/>
        <v>https://kokusho.nijl.ac.jp/biblio/100232367/375</v>
      </c>
      <c r="E2642" s="22"/>
      <c r="F2642" s="22"/>
      <c r="G2642" s="22"/>
    </row>
    <row r="2643" spans="1:7" x14ac:dyDescent="0.15">
      <c r="A2643" s="19" t="s">
        <v>6767</v>
      </c>
      <c r="B2643" s="25" t="s">
        <v>8479</v>
      </c>
      <c r="C2643" s="22"/>
      <c r="D2643" s="26" t="str">
        <f t="shared" si="213"/>
        <v>https://kokusho.nijl.ac.jp/biblio/100232367/375</v>
      </c>
      <c r="E2643" s="22"/>
      <c r="F2643" s="22"/>
      <c r="G2643" s="22"/>
    </row>
    <row r="2644" spans="1:7" x14ac:dyDescent="0.15">
      <c r="A2644" s="19" t="s">
        <v>6767</v>
      </c>
      <c r="B2644" s="25" t="s">
        <v>8480</v>
      </c>
      <c r="C2644" s="22"/>
      <c r="D2644" s="26" t="str">
        <f t="shared" ref="D2644:D2649" si="214">HYPERLINK("https://kokusho.nijl.ac.jp/biblio/100232367/376")</f>
        <v>https://kokusho.nijl.ac.jp/biblio/100232367/376</v>
      </c>
      <c r="E2644" s="22"/>
      <c r="F2644" s="22"/>
      <c r="G2644" s="22"/>
    </row>
    <row r="2645" spans="1:7" x14ac:dyDescent="0.15">
      <c r="A2645" s="19" t="s">
        <v>6767</v>
      </c>
      <c r="B2645" s="25" t="s">
        <v>8481</v>
      </c>
      <c r="C2645" s="22"/>
      <c r="D2645" s="26" t="str">
        <f t="shared" si="214"/>
        <v>https://kokusho.nijl.ac.jp/biblio/100232367/376</v>
      </c>
      <c r="E2645" s="22"/>
      <c r="F2645" s="22"/>
      <c r="G2645" s="22"/>
    </row>
    <row r="2646" spans="1:7" x14ac:dyDescent="0.15">
      <c r="A2646" s="19" t="s">
        <v>6767</v>
      </c>
      <c r="B2646" s="25" t="s">
        <v>6160</v>
      </c>
      <c r="C2646" s="22"/>
      <c r="D2646" s="26" t="str">
        <f t="shared" si="214"/>
        <v>https://kokusho.nijl.ac.jp/biblio/100232367/376</v>
      </c>
      <c r="E2646" s="22"/>
      <c r="F2646" s="22"/>
      <c r="G2646" s="22"/>
    </row>
    <row r="2647" spans="1:7" ht="54" x14ac:dyDescent="0.15">
      <c r="A2647" s="19" t="s">
        <v>6767</v>
      </c>
      <c r="B2647" s="25" t="s">
        <v>8482</v>
      </c>
      <c r="C2647" s="22"/>
      <c r="D2647" s="26" t="str">
        <f t="shared" si="214"/>
        <v>https://kokusho.nijl.ac.jp/biblio/100232367/376</v>
      </c>
      <c r="E2647" s="22"/>
      <c r="F2647" s="22"/>
      <c r="G2647" s="22"/>
    </row>
    <row r="2648" spans="1:7" x14ac:dyDescent="0.15">
      <c r="A2648" s="19" t="s">
        <v>6767</v>
      </c>
      <c r="B2648" s="25" t="s">
        <v>8483</v>
      </c>
      <c r="C2648" s="22"/>
      <c r="D2648" s="26" t="str">
        <f t="shared" si="214"/>
        <v>https://kokusho.nijl.ac.jp/biblio/100232367/376</v>
      </c>
      <c r="E2648" s="22"/>
      <c r="F2648" s="22"/>
      <c r="G2648" s="22"/>
    </row>
    <row r="2649" spans="1:7" x14ac:dyDescent="0.15">
      <c r="A2649" s="19" t="s">
        <v>6767</v>
      </c>
      <c r="B2649" s="25" t="s">
        <v>8484</v>
      </c>
      <c r="C2649" s="22"/>
      <c r="D2649" s="26" t="str">
        <f t="shared" si="214"/>
        <v>https://kokusho.nijl.ac.jp/biblio/100232367/376</v>
      </c>
      <c r="E2649" s="22"/>
      <c r="F2649" s="22"/>
      <c r="G2649" s="22"/>
    </row>
    <row r="2650" spans="1:7" x14ac:dyDescent="0.15">
      <c r="A2650" s="19" t="s">
        <v>6767</v>
      </c>
      <c r="B2650" s="25" t="s">
        <v>8485</v>
      </c>
      <c r="C2650" s="22"/>
      <c r="D2650" s="26" t="str">
        <f t="shared" ref="D2650:D2655" si="215">HYPERLINK("https://kokusho.nijl.ac.jp/biblio/100232367/377")</f>
        <v>https://kokusho.nijl.ac.jp/biblio/100232367/377</v>
      </c>
      <c r="E2650" s="22"/>
      <c r="F2650" s="22"/>
      <c r="G2650" s="22"/>
    </row>
    <row r="2651" spans="1:7" x14ac:dyDescent="0.15">
      <c r="A2651" s="19" t="s">
        <v>6767</v>
      </c>
      <c r="B2651" s="25" t="s">
        <v>8486</v>
      </c>
      <c r="C2651" s="22"/>
      <c r="D2651" s="26" t="str">
        <f t="shared" si="215"/>
        <v>https://kokusho.nijl.ac.jp/biblio/100232367/377</v>
      </c>
      <c r="E2651" s="22"/>
      <c r="F2651" s="22"/>
      <c r="G2651" s="22"/>
    </row>
    <row r="2652" spans="1:7" x14ac:dyDescent="0.15">
      <c r="A2652" s="19" t="s">
        <v>6767</v>
      </c>
      <c r="B2652" s="25" t="s">
        <v>8487</v>
      </c>
      <c r="C2652" s="22"/>
      <c r="D2652" s="26" t="str">
        <f t="shared" si="215"/>
        <v>https://kokusho.nijl.ac.jp/biblio/100232367/377</v>
      </c>
      <c r="E2652" s="22"/>
      <c r="F2652" s="22"/>
      <c r="G2652" s="22"/>
    </row>
    <row r="2653" spans="1:7" x14ac:dyDescent="0.15">
      <c r="A2653" s="19" t="s">
        <v>6767</v>
      </c>
      <c r="B2653" s="25" t="s">
        <v>8488</v>
      </c>
      <c r="C2653" s="22"/>
      <c r="D2653" s="26" t="str">
        <f t="shared" si="215"/>
        <v>https://kokusho.nijl.ac.jp/biblio/100232367/377</v>
      </c>
      <c r="E2653" s="22"/>
      <c r="F2653" s="22"/>
      <c r="G2653" s="22"/>
    </row>
    <row r="2654" spans="1:7" x14ac:dyDescent="0.15">
      <c r="A2654" s="19" t="s">
        <v>6767</v>
      </c>
      <c r="B2654" s="25" t="s">
        <v>8489</v>
      </c>
      <c r="C2654" s="22"/>
      <c r="D2654" s="26" t="str">
        <f t="shared" si="215"/>
        <v>https://kokusho.nijl.ac.jp/biblio/100232367/377</v>
      </c>
      <c r="E2654" s="22"/>
      <c r="F2654" s="22"/>
      <c r="G2654" s="22"/>
    </row>
    <row r="2655" spans="1:7" x14ac:dyDescent="0.15">
      <c r="A2655" s="19" t="s">
        <v>6767</v>
      </c>
      <c r="B2655" s="25" t="s">
        <v>6091</v>
      </c>
      <c r="C2655" s="22"/>
      <c r="D2655" s="26" t="str">
        <f t="shared" si="215"/>
        <v>https://kokusho.nijl.ac.jp/biblio/100232367/377</v>
      </c>
      <c r="E2655" s="22"/>
      <c r="F2655" s="22"/>
      <c r="G2655" s="22"/>
    </row>
    <row r="2656" spans="1:7" x14ac:dyDescent="0.15">
      <c r="A2656" s="19" t="s">
        <v>6767</v>
      </c>
      <c r="B2656" s="25" t="s">
        <v>8490</v>
      </c>
      <c r="C2656" s="22"/>
      <c r="D2656" s="26" t="str">
        <f t="shared" ref="D2656:D2663" si="216">HYPERLINK("https://kokusho.nijl.ac.jp/biblio/100232367/378")</f>
        <v>https://kokusho.nijl.ac.jp/biblio/100232367/378</v>
      </c>
      <c r="E2656" s="22"/>
      <c r="F2656" s="22"/>
      <c r="G2656" s="22"/>
    </row>
    <row r="2657" spans="1:7" x14ac:dyDescent="0.15">
      <c r="A2657" s="19" t="s">
        <v>6767</v>
      </c>
      <c r="B2657" s="25" t="s">
        <v>8491</v>
      </c>
      <c r="C2657" s="22"/>
      <c r="D2657" s="26" t="str">
        <f t="shared" si="216"/>
        <v>https://kokusho.nijl.ac.jp/biblio/100232367/378</v>
      </c>
      <c r="E2657" s="22"/>
      <c r="F2657" s="22"/>
      <c r="G2657" s="22"/>
    </row>
    <row r="2658" spans="1:7" x14ac:dyDescent="0.15">
      <c r="A2658" s="19" t="s">
        <v>6767</v>
      </c>
      <c r="B2658" s="25" t="s">
        <v>8492</v>
      </c>
      <c r="C2658" s="22"/>
      <c r="D2658" s="26" t="str">
        <f t="shared" si="216"/>
        <v>https://kokusho.nijl.ac.jp/biblio/100232367/378</v>
      </c>
      <c r="E2658" s="22"/>
      <c r="F2658" s="22"/>
      <c r="G2658" s="22"/>
    </row>
    <row r="2659" spans="1:7" x14ac:dyDescent="0.15">
      <c r="A2659" s="19" t="s">
        <v>6767</v>
      </c>
      <c r="B2659" s="25" t="s">
        <v>8493</v>
      </c>
      <c r="C2659" s="22"/>
      <c r="D2659" s="26" t="str">
        <f t="shared" si="216"/>
        <v>https://kokusho.nijl.ac.jp/biblio/100232367/378</v>
      </c>
      <c r="E2659" s="22"/>
      <c r="F2659" s="22"/>
      <c r="G2659" s="22"/>
    </row>
    <row r="2660" spans="1:7" x14ac:dyDescent="0.15">
      <c r="A2660" s="19" t="s">
        <v>6767</v>
      </c>
      <c r="B2660" s="25" t="s">
        <v>8494</v>
      </c>
      <c r="C2660" s="22"/>
      <c r="D2660" s="26" t="str">
        <f t="shared" si="216"/>
        <v>https://kokusho.nijl.ac.jp/biblio/100232367/378</v>
      </c>
      <c r="E2660" s="22"/>
      <c r="F2660" s="22"/>
      <c r="G2660" s="22"/>
    </row>
    <row r="2661" spans="1:7" x14ac:dyDescent="0.15">
      <c r="A2661" s="19" t="s">
        <v>6767</v>
      </c>
      <c r="B2661" s="25" t="s">
        <v>8495</v>
      </c>
      <c r="C2661" s="22"/>
      <c r="D2661" s="26" t="str">
        <f t="shared" si="216"/>
        <v>https://kokusho.nijl.ac.jp/biblio/100232367/378</v>
      </c>
      <c r="E2661" s="22"/>
      <c r="F2661" s="22"/>
      <c r="G2661" s="22"/>
    </row>
    <row r="2662" spans="1:7" x14ac:dyDescent="0.15">
      <c r="A2662" s="19" t="s">
        <v>6767</v>
      </c>
      <c r="B2662" s="25" t="s">
        <v>8496</v>
      </c>
      <c r="C2662" s="22"/>
      <c r="D2662" s="26" t="str">
        <f t="shared" si="216"/>
        <v>https://kokusho.nijl.ac.jp/biblio/100232367/378</v>
      </c>
      <c r="E2662" s="22"/>
      <c r="F2662" s="22"/>
      <c r="G2662" s="22"/>
    </row>
    <row r="2663" spans="1:7" x14ac:dyDescent="0.15">
      <c r="A2663" s="19" t="s">
        <v>6767</v>
      </c>
      <c r="B2663" s="25" t="s">
        <v>8497</v>
      </c>
      <c r="C2663" s="22"/>
      <c r="D2663" s="26" t="str">
        <f t="shared" si="216"/>
        <v>https://kokusho.nijl.ac.jp/biblio/100232367/378</v>
      </c>
      <c r="E2663" s="22"/>
      <c r="F2663" s="22"/>
      <c r="G2663" s="22"/>
    </row>
    <row r="2664" spans="1:7" x14ac:dyDescent="0.15">
      <c r="A2664" s="19" t="s">
        <v>6767</v>
      </c>
      <c r="B2664" s="25" t="s">
        <v>8498</v>
      </c>
      <c r="C2664" s="22"/>
      <c r="D2664" s="26" t="str">
        <f t="shared" ref="D2664:D2671" si="217">HYPERLINK("https://kokusho.nijl.ac.jp/biblio/100232367/379")</f>
        <v>https://kokusho.nijl.ac.jp/biblio/100232367/379</v>
      </c>
      <c r="E2664" s="22"/>
      <c r="F2664" s="22"/>
      <c r="G2664" s="22"/>
    </row>
    <row r="2665" spans="1:7" x14ac:dyDescent="0.15">
      <c r="A2665" s="19" t="s">
        <v>6767</v>
      </c>
      <c r="B2665" s="25" t="s">
        <v>6095</v>
      </c>
      <c r="C2665" s="22"/>
      <c r="D2665" s="26" t="str">
        <f t="shared" si="217"/>
        <v>https://kokusho.nijl.ac.jp/biblio/100232367/379</v>
      </c>
      <c r="E2665" s="22"/>
      <c r="F2665" s="22"/>
      <c r="G2665" s="22"/>
    </row>
    <row r="2666" spans="1:7" x14ac:dyDescent="0.15">
      <c r="A2666" s="19" t="s">
        <v>6767</v>
      </c>
      <c r="B2666" s="25" t="s">
        <v>8499</v>
      </c>
      <c r="C2666" s="22"/>
      <c r="D2666" s="26" t="str">
        <f t="shared" si="217"/>
        <v>https://kokusho.nijl.ac.jp/biblio/100232367/379</v>
      </c>
      <c r="E2666" s="22"/>
      <c r="F2666" s="22"/>
      <c r="G2666" s="22"/>
    </row>
    <row r="2667" spans="1:7" x14ac:dyDescent="0.15">
      <c r="A2667" s="19" t="s">
        <v>6767</v>
      </c>
      <c r="B2667" s="25" t="s">
        <v>8500</v>
      </c>
      <c r="C2667" s="22"/>
      <c r="D2667" s="26" t="str">
        <f t="shared" si="217"/>
        <v>https://kokusho.nijl.ac.jp/biblio/100232367/379</v>
      </c>
      <c r="E2667" s="22"/>
      <c r="F2667" s="22"/>
      <c r="G2667" s="22"/>
    </row>
    <row r="2668" spans="1:7" x14ac:dyDescent="0.15">
      <c r="A2668" s="19" t="s">
        <v>6767</v>
      </c>
      <c r="B2668" s="25" t="s">
        <v>6098</v>
      </c>
      <c r="C2668" s="22"/>
      <c r="D2668" s="26" t="str">
        <f t="shared" si="217"/>
        <v>https://kokusho.nijl.ac.jp/biblio/100232367/379</v>
      </c>
      <c r="E2668" s="22"/>
      <c r="F2668" s="22"/>
      <c r="G2668" s="22"/>
    </row>
    <row r="2669" spans="1:7" x14ac:dyDescent="0.15">
      <c r="A2669" s="19" t="s">
        <v>6767</v>
      </c>
      <c r="B2669" s="25" t="s">
        <v>8501</v>
      </c>
      <c r="C2669" s="22"/>
      <c r="D2669" s="26" t="str">
        <f t="shared" si="217"/>
        <v>https://kokusho.nijl.ac.jp/biblio/100232367/379</v>
      </c>
      <c r="E2669" s="22"/>
      <c r="F2669" s="22"/>
      <c r="G2669" s="22"/>
    </row>
    <row r="2670" spans="1:7" x14ac:dyDescent="0.15">
      <c r="A2670" s="19" t="s">
        <v>6767</v>
      </c>
      <c r="B2670" s="25" t="s">
        <v>8502</v>
      </c>
      <c r="C2670" s="22"/>
      <c r="D2670" s="26" t="str">
        <f t="shared" si="217"/>
        <v>https://kokusho.nijl.ac.jp/biblio/100232367/379</v>
      </c>
      <c r="E2670" s="22"/>
      <c r="F2670" s="22"/>
      <c r="G2670" s="22"/>
    </row>
    <row r="2671" spans="1:7" x14ac:dyDescent="0.15">
      <c r="A2671" s="19" t="s">
        <v>6767</v>
      </c>
      <c r="B2671" s="25" t="s">
        <v>8503</v>
      </c>
      <c r="C2671" s="22"/>
      <c r="D2671" s="26" t="str">
        <f t="shared" si="217"/>
        <v>https://kokusho.nijl.ac.jp/biblio/100232367/379</v>
      </c>
      <c r="E2671" s="22"/>
      <c r="F2671" s="22"/>
      <c r="G2671" s="22"/>
    </row>
    <row r="2672" spans="1:7" x14ac:dyDescent="0.15">
      <c r="A2672" s="19" t="s">
        <v>6767</v>
      </c>
      <c r="B2672" s="25" t="s">
        <v>8504</v>
      </c>
      <c r="C2672" s="22"/>
      <c r="D2672" s="26" t="str">
        <f>HYPERLINK("https://kokusho.nijl.ac.jp/biblio/100232367/380")</f>
        <v>https://kokusho.nijl.ac.jp/biblio/100232367/380</v>
      </c>
      <c r="E2672" s="22"/>
      <c r="F2672" s="22"/>
      <c r="G2672" s="22"/>
    </row>
    <row r="2673" spans="1:7" x14ac:dyDescent="0.15">
      <c r="A2673" s="19" t="s">
        <v>6767</v>
      </c>
      <c r="B2673" s="25" t="s">
        <v>8505</v>
      </c>
      <c r="C2673" s="22"/>
      <c r="D2673" s="26" t="str">
        <f>HYPERLINK("https://kokusho.nijl.ac.jp/biblio/100232367/380")</f>
        <v>https://kokusho.nijl.ac.jp/biblio/100232367/380</v>
      </c>
      <c r="E2673" s="22"/>
      <c r="F2673" s="22"/>
      <c r="G2673" s="22"/>
    </row>
    <row r="2674" spans="1:7" x14ac:dyDescent="0.15">
      <c r="A2674" s="19" t="s">
        <v>6767</v>
      </c>
      <c r="B2674" s="25" t="s">
        <v>8506</v>
      </c>
      <c r="C2674" s="22"/>
      <c r="D2674" s="26" t="str">
        <f>HYPERLINK("https://kokusho.nijl.ac.jp/biblio/100232367/380")</f>
        <v>https://kokusho.nijl.ac.jp/biblio/100232367/380</v>
      </c>
      <c r="E2674" s="22"/>
      <c r="F2674" s="22"/>
      <c r="G2674" s="22"/>
    </row>
    <row r="2675" spans="1:7" x14ac:dyDescent="0.15">
      <c r="A2675" s="19" t="s">
        <v>6767</v>
      </c>
      <c r="B2675" s="25" t="s">
        <v>8507</v>
      </c>
      <c r="C2675" s="22"/>
      <c r="D2675" s="26" t="str">
        <f>HYPERLINK("https://kokusho.nijl.ac.jp/biblio/100232367/382")</f>
        <v>https://kokusho.nijl.ac.jp/biblio/100232367/382</v>
      </c>
      <c r="E2675" s="22"/>
      <c r="F2675" s="22"/>
      <c r="G2675" s="22"/>
    </row>
    <row r="2676" spans="1:7" x14ac:dyDescent="0.15">
      <c r="A2676" s="19" t="s">
        <v>6767</v>
      </c>
      <c r="B2676" s="25" t="s">
        <v>8508</v>
      </c>
      <c r="C2676" s="22"/>
      <c r="D2676" s="26" t="str">
        <f>HYPERLINK("https://kokusho.nijl.ac.jp/biblio/100232367/382")</f>
        <v>https://kokusho.nijl.ac.jp/biblio/100232367/382</v>
      </c>
      <c r="E2676" s="22"/>
      <c r="F2676" s="22"/>
      <c r="G2676" s="22"/>
    </row>
    <row r="2677" spans="1:7" x14ac:dyDescent="0.15">
      <c r="A2677" s="19" t="s">
        <v>6767</v>
      </c>
      <c r="B2677" s="25" t="s">
        <v>8509</v>
      </c>
      <c r="C2677" s="22"/>
      <c r="D2677" s="26" t="str">
        <f>HYPERLINK("https://kokusho.nijl.ac.jp/biblio/100232367/382")</f>
        <v>https://kokusho.nijl.ac.jp/biblio/100232367/382</v>
      </c>
      <c r="E2677" s="22"/>
      <c r="F2677" s="22"/>
      <c r="G2677" s="22"/>
    </row>
    <row r="2678" spans="1:7" ht="27" x14ac:dyDescent="0.15">
      <c r="A2678" s="19" t="s">
        <v>6767</v>
      </c>
      <c r="B2678" s="25" t="s">
        <v>8510</v>
      </c>
      <c r="C2678" s="22"/>
      <c r="D2678" s="26" t="str">
        <f>HYPERLINK("https://kokusho.nijl.ac.jp/biblio/100232367/383")</f>
        <v>https://kokusho.nijl.ac.jp/biblio/100232367/383</v>
      </c>
      <c r="E2678" s="22"/>
      <c r="F2678" s="22"/>
      <c r="G2678" s="22"/>
    </row>
    <row r="2679" spans="1:7" x14ac:dyDescent="0.15">
      <c r="A2679" s="30" t="s">
        <v>8977</v>
      </c>
      <c r="B2679" s="30" t="s">
        <v>8978</v>
      </c>
      <c r="C2679" s="22"/>
      <c r="D2679" s="22"/>
      <c r="E2679" s="22"/>
      <c r="F2679" s="22"/>
      <c r="G2679" s="22"/>
    </row>
    <row r="2680" spans="1:7" x14ac:dyDescent="0.15">
      <c r="A2680" s="31" t="s">
        <v>8979</v>
      </c>
      <c r="B2680" s="19"/>
      <c r="C2680" s="19"/>
      <c r="D2680" s="22" t="str">
        <f>HYPERLINK("https://rmda.kulib.kyoto-u.ac.jp/item/rb00008736")</f>
        <v>https://rmda.kulib.kyoto-u.ac.jp/item/rb00008736</v>
      </c>
      <c r="E2680" s="19"/>
      <c r="F2680" s="32" t="str">
        <f>HYPERLINK("https://rmda.kulib.kyoto-u.ac.jp/item/rb00000897")</f>
        <v>https://rmda.kulib.kyoto-u.ac.jp/item/rb00000897</v>
      </c>
      <c r="G2680" s="19"/>
    </row>
    <row r="2681" spans="1:7" x14ac:dyDescent="0.15">
      <c r="A2681" s="33"/>
      <c r="B2681" s="19"/>
      <c r="C2681" s="34" t="s">
        <v>8980</v>
      </c>
      <c r="D2681" s="22"/>
      <c r="E2681" s="34" t="s">
        <v>8981</v>
      </c>
      <c r="F2681" s="19"/>
      <c r="G2681" s="34" t="s">
        <v>8982</v>
      </c>
    </row>
    <row r="2682" spans="1:7" x14ac:dyDescent="0.15">
      <c r="A2682" s="33"/>
      <c r="B2682" s="19"/>
      <c r="C2682" s="34" t="s">
        <v>8983</v>
      </c>
      <c r="D2682" s="22"/>
      <c r="E2682" s="34" t="s">
        <v>8983</v>
      </c>
      <c r="F2682" s="19"/>
      <c r="G2682" s="34" t="s">
        <v>8983</v>
      </c>
    </row>
    <row r="2683" spans="1:7" x14ac:dyDescent="0.15">
      <c r="A2683" s="33"/>
      <c r="B2683" s="19"/>
      <c r="C2683" s="34"/>
      <c r="D2683" s="22"/>
      <c r="E2683" s="19" t="s">
        <v>8984</v>
      </c>
      <c r="F2683" s="19"/>
      <c r="G2683" s="18" t="s">
        <v>8985</v>
      </c>
    </row>
    <row r="2684" spans="1:7" x14ac:dyDescent="0.15">
      <c r="A2684" s="33"/>
      <c r="B2684" s="19"/>
      <c r="C2684" s="34"/>
      <c r="D2684" s="22"/>
      <c r="E2684" s="18" t="s">
        <v>8986</v>
      </c>
      <c r="F2684" s="19"/>
      <c r="G2684" s="18" t="s">
        <v>8987</v>
      </c>
    </row>
    <row r="2685" spans="1:7" x14ac:dyDescent="0.15">
      <c r="A2685" s="33"/>
      <c r="B2685" s="19"/>
      <c r="C2685" s="34"/>
      <c r="D2685" s="22"/>
      <c r="E2685" s="18" t="s">
        <v>8988</v>
      </c>
      <c r="F2685" s="19"/>
      <c r="G2685" s="18" t="s">
        <v>8989</v>
      </c>
    </row>
    <row r="2686" spans="1:7" x14ac:dyDescent="0.15">
      <c r="A2686" s="33"/>
      <c r="B2686" s="19"/>
      <c r="C2686" s="34"/>
      <c r="D2686" s="22"/>
      <c r="E2686" s="18" t="s">
        <v>8990</v>
      </c>
      <c r="F2686" s="18"/>
      <c r="G2686" s="18" t="s">
        <v>8991</v>
      </c>
    </row>
    <row r="2687" spans="1:7" x14ac:dyDescent="0.15">
      <c r="A2687" s="33"/>
      <c r="B2687" s="19"/>
      <c r="C2687" s="34"/>
      <c r="D2687" s="22"/>
      <c r="E2687" s="18"/>
      <c r="F2687" s="18"/>
      <c r="G2687" s="18" t="s">
        <v>8992</v>
      </c>
    </row>
    <row r="2688" spans="1:7" x14ac:dyDescent="0.15">
      <c r="A2688" s="19" t="s">
        <v>8993</v>
      </c>
      <c r="B2688" s="35" t="s">
        <v>8994</v>
      </c>
      <c r="C2688" s="19"/>
      <c r="D2688" s="22"/>
      <c r="E2688" s="19"/>
      <c r="F2688" s="19"/>
      <c r="G2688" s="19">
        <v>10</v>
      </c>
    </row>
    <row r="2689" spans="1:7" x14ac:dyDescent="0.15">
      <c r="A2689" s="19" t="s">
        <v>8993</v>
      </c>
      <c r="B2689" s="19" t="s">
        <v>8995</v>
      </c>
      <c r="C2689" s="19">
        <v>2</v>
      </c>
      <c r="D2689" s="22" t="str">
        <f>HYPERLINK("https://rmda.kulib.kyoto-u.ac.jp/item/rb00008736?page=2")</f>
        <v>https://rmda.kulib.kyoto-u.ac.jp/item/rb00008736?page=2</v>
      </c>
      <c r="E2689" s="19"/>
      <c r="F2689" s="19"/>
      <c r="G2689" s="19">
        <v>12</v>
      </c>
    </row>
    <row r="2690" spans="1:7" x14ac:dyDescent="0.15">
      <c r="A2690" s="19" t="s">
        <v>8993</v>
      </c>
      <c r="B2690" s="19" t="s">
        <v>8518</v>
      </c>
      <c r="C2690" s="19">
        <v>4</v>
      </c>
      <c r="D2690" s="22" t="str">
        <f>HYPERLINK("https://rmda.kulib.kyoto-u.ac.jp/item/rb00008736?page=4")</f>
        <v>https://rmda.kulib.kyoto-u.ac.jp/item/rb00008736?page=4</v>
      </c>
      <c r="E2690" s="19"/>
      <c r="F2690" s="19"/>
      <c r="G2690" s="19"/>
    </row>
    <row r="2691" spans="1:7" x14ac:dyDescent="0.15">
      <c r="A2691" s="19" t="s">
        <v>8993</v>
      </c>
      <c r="B2691" s="19" t="s">
        <v>8996</v>
      </c>
      <c r="C2691" s="19">
        <v>7</v>
      </c>
      <c r="D2691" s="22" t="str">
        <f>HYPERLINK("https://rmda.kulib.kyoto-u.ac.jp/item/rb00008736?page=7")</f>
        <v>https://rmda.kulib.kyoto-u.ac.jp/item/rb00008736?page=7</v>
      </c>
      <c r="E2691" s="19"/>
      <c r="F2691" s="19"/>
      <c r="G2691" s="19">
        <v>17</v>
      </c>
    </row>
    <row r="2692" spans="1:7" x14ac:dyDescent="0.15">
      <c r="A2692" s="19" t="s">
        <v>8993</v>
      </c>
      <c r="B2692" s="19" t="s">
        <v>8997</v>
      </c>
      <c r="C2692" s="19">
        <v>11</v>
      </c>
      <c r="D2692" s="22" t="str">
        <f>HYPERLINK("https://rmda.kulib.kyoto-u.ac.jp/item/rb00008736?page=11")</f>
        <v>https://rmda.kulib.kyoto-u.ac.jp/item/rb00008736?page=11</v>
      </c>
      <c r="E2692" s="19"/>
      <c r="F2692" s="19"/>
      <c r="G2692" s="19"/>
    </row>
    <row r="2693" spans="1:7" x14ac:dyDescent="0.15">
      <c r="A2693" s="19" t="s">
        <v>8993</v>
      </c>
      <c r="B2693" s="19" t="s">
        <v>8998</v>
      </c>
      <c r="C2693" s="19">
        <v>12</v>
      </c>
      <c r="D2693" s="22" t="str">
        <f>HYPERLINK("https://rmda.kulib.kyoto-u.ac.jp/item/rb00008736?page=12")</f>
        <v>https://rmda.kulib.kyoto-u.ac.jp/item/rb00008736?page=12</v>
      </c>
      <c r="E2693" s="19"/>
      <c r="F2693" s="19"/>
      <c r="G2693" s="19"/>
    </row>
    <row r="2694" spans="1:7" x14ac:dyDescent="0.15">
      <c r="A2694" s="19" t="s">
        <v>8993</v>
      </c>
      <c r="B2694" s="19" t="s">
        <v>8999</v>
      </c>
      <c r="C2694" s="19">
        <v>12</v>
      </c>
      <c r="D2694" s="22" t="str">
        <f>HYPERLINK("https://rmda.kulib.kyoto-u.ac.jp/item/rb00008736?page=12")</f>
        <v>https://rmda.kulib.kyoto-u.ac.jp/item/rb00008736?page=12</v>
      </c>
      <c r="E2694" s="19"/>
      <c r="F2694" s="19"/>
      <c r="G2694" s="19"/>
    </row>
    <row r="2695" spans="1:7" x14ac:dyDescent="0.15">
      <c r="A2695" s="19" t="s">
        <v>8993</v>
      </c>
      <c r="B2695" s="19" t="s">
        <v>9000</v>
      </c>
      <c r="C2695" s="19">
        <v>13</v>
      </c>
      <c r="D2695" s="22" t="str">
        <f>HYPERLINK("https://rmda.kulib.kyoto-u.ac.jp/item/rb00008736?page=13")</f>
        <v>https://rmda.kulib.kyoto-u.ac.jp/item/rb00008736?page=13</v>
      </c>
      <c r="E2695" s="19"/>
      <c r="F2695" s="19"/>
      <c r="G2695" s="19"/>
    </row>
    <row r="2696" spans="1:7" x14ac:dyDescent="0.15">
      <c r="A2696" s="19" t="s">
        <v>8993</v>
      </c>
      <c r="B2696" s="19" t="s">
        <v>9001</v>
      </c>
      <c r="C2696" s="19">
        <v>15</v>
      </c>
      <c r="D2696" s="22" t="str">
        <f>HYPERLINK("https://rmda.kulib.kyoto-u.ac.jp/item/rb00008736?page=15")</f>
        <v>https://rmda.kulib.kyoto-u.ac.jp/item/rb00008736?page=15</v>
      </c>
      <c r="E2696" s="19"/>
      <c r="F2696" s="19"/>
      <c r="G2696" s="19"/>
    </row>
    <row r="2697" spans="1:7" x14ac:dyDescent="0.15">
      <c r="A2697" s="19" t="s">
        <v>8993</v>
      </c>
      <c r="B2697" s="19" t="s">
        <v>9002</v>
      </c>
      <c r="C2697" s="19">
        <v>46</v>
      </c>
      <c r="D2697" s="22" t="str">
        <f>HYPERLINK("https://rmda.kulib.kyoto-u.ac.jp/item/rb00008736?page=46")</f>
        <v>https://rmda.kulib.kyoto-u.ac.jp/item/rb00008736?page=46</v>
      </c>
      <c r="E2697" s="19"/>
      <c r="F2697" s="19"/>
      <c r="G2697" s="19"/>
    </row>
    <row r="2698" spans="1:7" x14ac:dyDescent="0.15">
      <c r="A2698" s="19" t="s">
        <v>8993</v>
      </c>
      <c r="B2698" s="19" t="s">
        <v>9003</v>
      </c>
      <c r="C2698" s="19">
        <v>51</v>
      </c>
      <c r="D2698" s="22" t="str">
        <f>HYPERLINK("https://rmda.kulib.kyoto-u.ac.jp/item/rb00008736?page=51")</f>
        <v>https://rmda.kulib.kyoto-u.ac.jp/item/rb00008736?page=51</v>
      </c>
      <c r="E2698" s="19"/>
      <c r="F2698" s="19"/>
      <c r="G2698" s="19"/>
    </row>
    <row r="2699" spans="1:7" x14ac:dyDescent="0.15">
      <c r="A2699" s="19" t="s">
        <v>8993</v>
      </c>
      <c r="B2699" s="19" t="s">
        <v>9004</v>
      </c>
      <c r="C2699" s="19">
        <v>59</v>
      </c>
      <c r="D2699" s="22" t="str">
        <f>HYPERLINK("https://rmda.kulib.kyoto-u.ac.jp/item/rb00008736?page=59")</f>
        <v>https://rmda.kulib.kyoto-u.ac.jp/item/rb00008736?page=59</v>
      </c>
      <c r="E2699" s="19"/>
      <c r="F2699" s="19"/>
      <c r="G2699" s="19">
        <v>22</v>
      </c>
    </row>
    <row r="2700" spans="1:7" x14ac:dyDescent="0.15">
      <c r="A2700" s="19" t="s">
        <v>8993</v>
      </c>
      <c r="B2700" s="19" t="s">
        <v>9005</v>
      </c>
      <c r="C2700" s="19">
        <v>86</v>
      </c>
      <c r="D2700" s="22" t="str">
        <f>HYPERLINK("https://rmda.kulib.kyoto-u.ac.jp/item/rb00008736?page=86")</f>
        <v>https://rmda.kulib.kyoto-u.ac.jp/item/rb00008736?page=86</v>
      </c>
      <c r="E2700" s="19"/>
      <c r="F2700" s="19"/>
      <c r="G2700" s="19">
        <v>26</v>
      </c>
    </row>
    <row r="2701" spans="1:7" x14ac:dyDescent="0.15">
      <c r="A2701" s="19" t="s">
        <v>8993</v>
      </c>
      <c r="B2701" s="19" t="s">
        <v>9006</v>
      </c>
      <c r="C2701" s="19">
        <v>89</v>
      </c>
      <c r="D2701" s="22" t="str">
        <f>HYPERLINK("https://rmda.kulib.kyoto-u.ac.jp/item/rb00008736?page=89")</f>
        <v>https://rmda.kulib.kyoto-u.ac.jp/item/rb00008736?page=89</v>
      </c>
      <c r="E2701" s="19"/>
      <c r="F2701" s="19"/>
      <c r="G2701" s="19">
        <v>36</v>
      </c>
    </row>
    <row r="2702" spans="1:7" x14ac:dyDescent="0.15">
      <c r="A2702" s="19" t="s">
        <v>8993</v>
      </c>
      <c r="B2702" s="19" t="s">
        <v>9007</v>
      </c>
      <c r="C2702" s="19">
        <v>92</v>
      </c>
      <c r="D2702" s="22" t="str">
        <f>HYPERLINK("https://rmda.kulib.kyoto-u.ac.jp/item/rb00008736?page=92")</f>
        <v>https://rmda.kulib.kyoto-u.ac.jp/item/rb00008736?page=92</v>
      </c>
      <c r="E2702" s="19"/>
      <c r="F2702" s="19"/>
      <c r="G2702" s="19"/>
    </row>
    <row r="2703" spans="1:7" x14ac:dyDescent="0.15">
      <c r="A2703" s="19" t="s">
        <v>8993</v>
      </c>
      <c r="B2703" s="19" t="s">
        <v>9008</v>
      </c>
      <c r="C2703" s="19">
        <v>92</v>
      </c>
      <c r="D2703" s="22" t="str">
        <f>HYPERLINK("https://rmda.kulib.kyoto-u.ac.jp/item/rb00008736?page=92")</f>
        <v>https://rmda.kulib.kyoto-u.ac.jp/item/rb00008736?page=92</v>
      </c>
      <c r="E2703" s="19"/>
      <c r="F2703" s="19"/>
      <c r="G2703" s="19">
        <v>43</v>
      </c>
    </row>
    <row r="2704" spans="1:7" x14ac:dyDescent="0.15">
      <c r="A2704" s="19" t="s">
        <v>8993</v>
      </c>
      <c r="B2704" s="19" t="s">
        <v>9009</v>
      </c>
      <c r="C2704" s="19">
        <v>95</v>
      </c>
      <c r="D2704" s="22" t="str">
        <f>HYPERLINK("https://rmda.kulib.kyoto-u.ac.jp/item/rb00008736?page=95")</f>
        <v>https://rmda.kulib.kyoto-u.ac.jp/item/rb00008736?page=95</v>
      </c>
      <c r="E2704" s="19"/>
      <c r="F2704" s="19"/>
      <c r="G2704" s="19">
        <v>52</v>
      </c>
    </row>
    <row r="2705" spans="1:7" x14ac:dyDescent="0.15">
      <c r="A2705" s="19" t="s">
        <v>8993</v>
      </c>
      <c r="B2705" s="19" t="s">
        <v>9010</v>
      </c>
      <c r="C2705" s="19">
        <v>96</v>
      </c>
      <c r="D2705" s="22" t="str">
        <f>HYPERLINK("https://rmda.kulib.kyoto-u.ac.jp/item/rb00008736?page=96")</f>
        <v>https://rmda.kulib.kyoto-u.ac.jp/item/rb00008736?page=96</v>
      </c>
      <c r="E2705" s="19"/>
      <c r="F2705" s="19"/>
      <c r="G2705" s="19">
        <v>55</v>
      </c>
    </row>
    <row r="2706" spans="1:7" x14ac:dyDescent="0.15">
      <c r="A2706" s="19" t="s">
        <v>8993</v>
      </c>
      <c r="B2706" s="19" t="s">
        <v>9011</v>
      </c>
      <c r="C2706" s="19">
        <v>99</v>
      </c>
      <c r="D2706" s="22" t="str">
        <f>HYPERLINK("https://rmda.kulib.kyoto-u.ac.jp/item/rb00008736?page=99")</f>
        <v>https://rmda.kulib.kyoto-u.ac.jp/item/rb00008736?page=99</v>
      </c>
      <c r="E2706" s="19"/>
      <c r="F2706" s="19"/>
      <c r="G2706" s="19">
        <v>61</v>
      </c>
    </row>
    <row r="2707" spans="1:7" x14ac:dyDescent="0.15">
      <c r="A2707" s="19" t="s">
        <v>8993</v>
      </c>
      <c r="B2707" s="19" t="s">
        <v>9012</v>
      </c>
      <c r="C2707" s="19">
        <v>102</v>
      </c>
      <c r="D2707" s="22" t="str">
        <f>HYPERLINK("https://rmda.kulib.kyoto-u.ac.jp/item/rb00008736?page=102")</f>
        <v>https://rmda.kulib.kyoto-u.ac.jp/item/rb00008736?page=102</v>
      </c>
      <c r="E2707" s="19"/>
      <c r="F2707" s="19"/>
      <c r="G2707" s="19">
        <v>65</v>
      </c>
    </row>
    <row r="2708" spans="1:7" x14ac:dyDescent="0.15">
      <c r="A2708" s="19" t="s">
        <v>8993</v>
      </c>
      <c r="B2708" s="19" t="s">
        <v>9013</v>
      </c>
      <c r="C2708" s="19">
        <v>103</v>
      </c>
      <c r="D2708" s="22" t="str">
        <f>HYPERLINK("https://rmda.kulib.kyoto-u.ac.jp/item/rb00008736?page=103")</f>
        <v>https://rmda.kulib.kyoto-u.ac.jp/item/rb00008736?page=103</v>
      </c>
      <c r="E2708" s="19"/>
      <c r="F2708" s="19"/>
      <c r="G2708" s="19">
        <v>65</v>
      </c>
    </row>
    <row r="2709" spans="1:7" x14ac:dyDescent="0.15">
      <c r="A2709" s="19" t="s">
        <v>8993</v>
      </c>
      <c r="B2709" s="36" t="s">
        <v>9014</v>
      </c>
      <c r="C2709" s="19">
        <v>121</v>
      </c>
      <c r="D2709" s="22" t="str">
        <f>HYPERLINK("https://rmda.kulib.kyoto-u.ac.jp/item/rb00008736?page=121")</f>
        <v>https://rmda.kulib.kyoto-u.ac.jp/item/rb00008736?page=121</v>
      </c>
      <c r="E2709" s="19"/>
      <c r="F2709" s="19"/>
      <c r="G2709" s="19"/>
    </row>
    <row r="2710" spans="1:7" x14ac:dyDescent="0.15">
      <c r="A2710" s="19" t="s">
        <v>8993</v>
      </c>
      <c r="B2710" s="19" t="s">
        <v>9015</v>
      </c>
      <c r="C2710" s="19">
        <v>121</v>
      </c>
      <c r="D2710" s="22" t="str">
        <f>HYPERLINK("https://rmda.kulib.kyoto-u.ac.jp/item/rb00008736?page=121")</f>
        <v>https://rmda.kulib.kyoto-u.ac.jp/item/rb00008736?page=121</v>
      </c>
      <c r="E2710" s="19">
        <v>4</v>
      </c>
      <c r="F2710" s="18" t="str">
        <f>HYPERLINK("https://rmda.kulib.kyoto-u.ac.jp/item/rb00000897?page=4")</f>
        <v>https://rmda.kulib.kyoto-u.ac.jp/item/rb00000897?page=4</v>
      </c>
      <c r="G2710" s="19">
        <v>98</v>
      </c>
    </row>
    <row r="2711" spans="1:7" x14ac:dyDescent="0.15">
      <c r="A2711" s="19" t="s">
        <v>8993</v>
      </c>
      <c r="B2711" s="19" t="s">
        <v>9016</v>
      </c>
      <c r="C2711" s="19">
        <v>121</v>
      </c>
      <c r="D2711" s="22" t="str">
        <f>HYPERLINK("https://rmda.kulib.kyoto-u.ac.jp/item/rb00008736?page=121")</f>
        <v>https://rmda.kulib.kyoto-u.ac.jp/item/rb00008736?page=121</v>
      </c>
      <c r="E2711" s="19">
        <v>5</v>
      </c>
      <c r="F2711" s="18" t="str">
        <f>HYPERLINK("https://rmda.kulib.kyoto-u.ac.jp/item/rb00000897?page=5")</f>
        <v>https://rmda.kulib.kyoto-u.ac.jp/item/rb00000897?page=5</v>
      </c>
      <c r="G2711" s="19">
        <v>98</v>
      </c>
    </row>
    <row r="2712" spans="1:7" x14ac:dyDescent="0.15">
      <c r="A2712" s="19" t="s">
        <v>8993</v>
      </c>
      <c r="B2712" s="19" t="s">
        <v>9017</v>
      </c>
      <c r="C2712" s="19">
        <v>121</v>
      </c>
      <c r="D2712" s="22" t="str">
        <f>HYPERLINK("https://rmda.kulib.kyoto-u.ac.jp/item/rb00008736?page=121")</f>
        <v>https://rmda.kulib.kyoto-u.ac.jp/item/rb00008736?page=121</v>
      </c>
      <c r="E2712" s="19">
        <v>5</v>
      </c>
      <c r="F2712" s="18" t="str">
        <f>HYPERLINK("https://rmda.kulib.kyoto-u.ac.jp/item/rb00000897?page=5")</f>
        <v>https://rmda.kulib.kyoto-u.ac.jp/item/rb00000897?page=5</v>
      </c>
      <c r="G2712" s="19">
        <v>99</v>
      </c>
    </row>
    <row r="2713" spans="1:7" x14ac:dyDescent="0.15">
      <c r="A2713" s="19" t="s">
        <v>8993</v>
      </c>
      <c r="B2713" s="19" t="s">
        <v>9018</v>
      </c>
      <c r="C2713" s="19">
        <v>122</v>
      </c>
      <c r="D2713" s="22" t="str">
        <f>HYPERLINK("https://rmda.kulib.kyoto-u.ac.jp/item/rb00008736?page=122")</f>
        <v>https://rmda.kulib.kyoto-u.ac.jp/item/rb00008736?page=122</v>
      </c>
      <c r="E2713" s="19">
        <v>6</v>
      </c>
      <c r="F2713" s="18" t="str">
        <f>HYPERLINK("https://rmda.kulib.kyoto-u.ac.jp/item/rb00000897?page=6")</f>
        <v>https://rmda.kulib.kyoto-u.ac.jp/item/rb00000897?page=6</v>
      </c>
      <c r="G2713" s="19">
        <v>99</v>
      </c>
    </row>
    <row r="2714" spans="1:7" x14ac:dyDescent="0.15">
      <c r="A2714" s="19" t="s">
        <v>8993</v>
      </c>
      <c r="B2714" s="19" t="s">
        <v>9019</v>
      </c>
      <c r="C2714" s="19">
        <v>123</v>
      </c>
      <c r="D2714" s="22" t="str">
        <f>HYPERLINK("https://rmda.kulib.kyoto-u.ac.jp/item/rb00008736?page=123")</f>
        <v>https://rmda.kulib.kyoto-u.ac.jp/item/rb00008736?page=123</v>
      </c>
      <c r="E2714" s="19">
        <v>7</v>
      </c>
      <c r="F2714" s="18" t="str">
        <f>HYPERLINK("https://rmda.kulib.kyoto-u.ac.jp/item/rb00000897?page=7")</f>
        <v>https://rmda.kulib.kyoto-u.ac.jp/item/rb00000897?page=7</v>
      </c>
      <c r="G2714" s="19">
        <v>100</v>
      </c>
    </row>
    <row r="2715" spans="1:7" x14ac:dyDescent="0.15">
      <c r="A2715" s="19" t="s">
        <v>8993</v>
      </c>
      <c r="B2715" s="19" t="s">
        <v>9020</v>
      </c>
      <c r="C2715" s="19">
        <v>126</v>
      </c>
      <c r="D2715" s="22" t="str">
        <f>HYPERLINK("https://rmda.kulib.kyoto-u.ac.jp/item/rb00008736?page=126")</f>
        <v>https://rmda.kulib.kyoto-u.ac.jp/item/rb00008736?page=126</v>
      </c>
      <c r="E2715" s="19">
        <v>10</v>
      </c>
      <c r="F2715" s="18" t="str">
        <f>HYPERLINK("https://rmda.kulib.kyoto-u.ac.jp/item/rb00000897?page=10")</f>
        <v>https://rmda.kulib.kyoto-u.ac.jp/item/rb00000897?page=10</v>
      </c>
      <c r="G2715" s="19">
        <v>101</v>
      </c>
    </row>
    <row r="2716" spans="1:7" x14ac:dyDescent="0.15">
      <c r="A2716" s="19" t="s">
        <v>8993</v>
      </c>
      <c r="B2716" s="19" t="s">
        <v>9021</v>
      </c>
      <c r="C2716" s="19">
        <v>127</v>
      </c>
      <c r="D2716" s="22" t="str">
        <f>HYPERLINK("https://rmda.kulib.kyoto-u.ac.jp/item/rb00008736?page=127")</f>
        <v>https://rmda.kulib.kyoto-u.ac.jp/item/rb00008736?page=127</v>
      </c>
      <c r="E2716" s="19">
        <v>12</v>
      </c>
      <c r="F2716" s="18" t="str">
        <f>HYPERLINK("https://rmda.kulib.kyoto-u.ac.jp/item/rb00000897?page=12")</f>
        <v>https://rmda.kulib.kyoto-u.ac.jp/item/rb00000897?page=12</v>
      </c>
      <c r="G2716" s="19">
        <v>102</v>
      </c>
    </row>
    <row r="2717" spans="1:7" x14ac:dyDescent="0.15">
      <c r="A2717" s="19" t="s">
        <v>8993</v>
      </c>
      <c r="B2717" s="19" t="s">
        <v>9022</v>
      </c>
      <c r="C2717" s="19">
        <v>128</v>
      </c>
      <c r="D2717" s="22" t="str">
        <f>HYPERLINK("https://rmda.kulib.kyoto-u.ac.jp/item/rb00008736?page=128")</f>
        <v>https://rmda.kulib.kyoto-u.ac.jp/item/rb00008736?page=128</v>
      </c>
      <c r="E2717" s="19">
        <v>12</v>
      </c>
      <c r="F2717" s="18" t="str">
        <f>HYPERLINK("https://rmda.kulib.kyoto-u.ac.jp/item/rb00000897?page=12")</f>
        <v>https://rmda.kulib.kyoto-u.ac.jp/item/rb00000897?page=12</v>
      </c>
      <c r="G2717" s="19">
        <v>102</v>
      </c>
    </row>
    <row r="2718" spans="1:7" x14ac:dyDescent="0.15">
      <c r="A2718" s="19" t="s">
        <v>8993</v>
      </c>
      <c r="B2718" s="19" t="s">
        <v>9023</v>
      </c>
      <c r="C2718" s="19">
        <v>129</v>
      </c>
      <c r="D2718" s="22" t="str">
        <f>HYPERLINK("https://rmda.kulib.kyoto-u.ac.jp/item/rb00008736?page=129")</f>
        <v>https://rmda.kulib.kyoto-u.ac.jp/item/rb00008736?page=129</v>
      </c>
      <c r="E2718" s="19">
        <v>13</v>
      </c>
      <c r="F2718" s="18" t="str">
        <f>HYPERLINK("https://rmda.kulib.kyoto-u.ac.jp/item/rb00000897?page=13")</f>
        <v>https://rmda.kulib.kyoto-u.ac.jp/item/rb00000897?page=13</v>
      </c>
      <c r="G2718" s="19">
        <v>102</v>
      </c>
    </row>
    <row r="2719" spans="1:7" x14ac:dyDescent="0.15">
      <c r="A2719" s="19" t="s">
        <v>8993</v>
      </c>
      <c r="B2719" s="19" t="s">
        <v>9024</v>
      </c>
      <c r="C2719" s="19">
        <v>133</v>
      </c>
      <c r="D2719" s="22" t="str">
        <f>HYPERLINK("https://rmda.kulib.kyoto-u.ac.jp/item/rb00008736?page=133")</f>
        <v>https://rmda.kulib.kyoto-u.ac.jp/item/rb00008736?page=133</v>
      </c>
      <c r="E2719" s="19">
        <v>18</v>
      </c>
      <c r="F2719" s="18" t="str">
        <f>HYPERLINK("https://rmda.kulib.kyoto-u.ac.jp/item/rb00000897?page=18")</f>
        <v>https://rmda.kulib.kyoto-u.ac.jp/item/rb00000897?page=18</v>
      </c>
      <c r="G2719" s="19">
        <v>105</v>
      </c>
    </row>
    <row r="2720" spans="1:7" x14ac:dyDescent="0.15">
      <c r="A2720" s="19" t="s">
        <v>8993</v>
      </c>
      <c r="B2720" s="19" t="s">
        <v>9025</v>
      </c>
      <c r="C2720" s="19">
        <v>135</v>
      </c>
      <c r="D2720" s="22" t="str">
        <f>HYPERLINK("https://rmda.kulib.kyoto-u.ac.jp/item/rb00008736?page=135")</f>
        <v>https://rmda.kulib.kyoto-u.ac.jp/item/rb00008736?page=135</v>
      </c>
      <c r="E2720" s="19">
        <v>20</v>
      </c>
      <c r="F2720" s="18" t="str">
        <f>HYPERLINK("https://rmda.kulib.kyoto-u.ac.jp/item/rb00000897?page=20")</f>
        <v>https://rmda.kulib.kyoto-u.ac.jp/item/rb00000897?page=20</v>
      </c>
      <c r="G2720" s="19">
        <v>106</v>
      </c>
    </row>
    <row r="2721" spans="1:7" x14ac:dyDescent="0.15">
      <c r="A2721" s="19" t="s">
        <v>8993</v>
      </c>
      <c r="B2721" s="19" t="s">
        <v>9026</v>
      </c>
      <c r="C2721" s="19">
        <v>136</v>
      </c>
      <c r="D2721" s="22" t="str">
        <f>HYPERLINK("https://rmda.kulib.kyoto-u.ac.jp/item/rb00008736?page=136")</f>
        <v>https://rmda.kulib.kyoto-u.ac.jp/item/rb00008736?page=136</v>
      </c>
      <c r="E2721" s="19">
        <v>20</v>
      </c>
      <c r="F2721" s="18" t="str">
        <f>HYPERLINK("https://rmda.kulib.kyoto-u.ac.jp/item/rb00000897?page=20")</f>
        <v>https://rmda.kulib.kyoto-u.ac.jp/item/rb00000897?page=20</v>
      </c>
      <c r="G2721" s="19">
        <v>106</v>
      </c>
    </row>
    <row r="2722" spans="1:7" x14ac:dyDescent="0.15">
      <c r="A2722" s="19" t="s">
        <v>8993</v>
      </c>
      <c r="B2722" s="37" t="s">
        <v>9027</v>
      </c>
      <c r="C2722" s="19">
        <v>137</v>
      </c>
      <c r="D2722" s="22" t="str">
        <f>HYPERLINK("https://rmda.kulib.kyoto-u.ac.jp/item/rb00008736?page=137")</f>
        <v>https://rmda.kulib.kyoto-u.ac.jp/item/rb00008736?page=137</v>
      </c>
      <c r="E2722" s="19">
        <v>22</v>
      </c>
      <c r="F2722" s="18" t="str">
        <f>HYPERLINK("https://rmda.kulib.kyoto-u.ac.jp/item/rb00000897?page=22")</f>
        <v>https://rmda.kulib.kyoto-u.ac.jp/item/rb00000897?page=22</v>
      </c>
      <c r="G2722" s="19">
        <v>106</v>
      </c>
    </row>
    <row r="2723" spans="1:7" x14ac:dyDescent="0.15">
      <c r="A2723" s="19" t="s">
        <v>8993</v>
      </c>
      <c r="B2723" s="19" t="s">
        <v>9028</v>
      </c>
      <c r="C2723" s="19">
        <v>140</v>
      </c>
      <c r="D2723" s="22" t="str">
        <f>HYPERLINK("https://rmda.kulib.kyoto-u.ac.jp/item/rb00008736?page=140")</f>
        <v>https://rmda.kulib.kyoto-u.ac.jp/item/rb00008736?page=140</v>
      </c>
      <c r="E2723" s="19">
        <v>25</v>
      </c>
      <c r="F2723" s="18" t="str">
        <f>HYPERLINK("https://rmda.kulib.kyoto-u.ac.jp/item/rb00000897?page=25")</f>
        <v>https://rmda.kulib.kyoto-u.ac.jp/item/rb00000897?page=25</v>
      </c>
      <c r="G2723" s="19">
        <v>108</v>
      </c>
    </row>
    <row r="2724" spans="1:7" x14ac:dyDescent="0.15">
      <c r="A2724" s="19" t="s">
        <v>8993</v>
      </c>
      <c r="B2724" s="19" t="s">
        <v>9029</v>
      </c>
      <c r="C2724" s="19">
        <v>141</v>
      </c>
      <c r="D2724" s="22" t="str">
        <f>HYPERLINK("https://rmda.kulib.kyoto-u.ac.jp/item/rb00008736?page=141")</f>
        <v>https://rmda.kulib.kyoto-u.ac.jp/item/rb00008736?page=141</v>
      </c>
      <c r="E2724" s="19">
        <v>26</v>
      </c>
      <c r="F2724" s="18" t="str">
        <f>HYPERLINK("https://rmda.kulib.kyoto-u.ac.jp/item/rb00000897?page=26")</f>
        <v>https://rmda.kulib.kyoto-u.ac.jp/item/rb00000897?page=26</v>
      </c>
      <c r="G2724" s="19">
        <v>108</v>
      </c>
    </row>
    <row r="2725" spans="1:7" x14ac:dyDescent="0.15">
      <c r="A2725" s="19" t="s">
        <v>8993</v>
      </c>
      <c r="B2725" s="19" t="s">
        <v>9030</v>
      </c>
      <c r="C2725" s="19">
        <v>143</v>
      </c>
      <c r="D2725" s="22" t="str">
        <f>HYPERLINK("https://rmda.kulib.kyoto-u.ac.jp/item/rb00008736?page=143")</f>
        <v>https://rmda.kulib.kyoto-u.ac.jp/item/rb00008736?page=143</v>
      </c>
      <c r="E2725" s="19">
        <v>28</v>
      </c>
      <c r="F2725" s="18" t="str">
        <f>HYPERLINK("https://rmda.kulib.kyoto-u.ac.jp/item/rb00000897?page=28")</f>
        <v>https://rmda.kulib.kyoto-u.ac.jp/item/rb00000897?page=28</v>
      </c>
      <c r="G2725" s="19">
        <v>109</v>
      </c>
    </row>
    <row r="2726" spans="1:7" x14ac:dyDescent="0.15">
      <c r="A2726" s="19" t="s">
        <v>8993</v>
      </c>
      <c r="B2726" s="19" t="s">
        <v>9031</v>
      </c>
      <c r="C2726" s="19">
        <v>145</v>
      </c>
      <c r="D2726" s="22" t="str">
        <f>HYPERLINK("https://rmda.kulib.kyoto-u.ac.jp/item/rb00008736?page=145")</f>
        <v>https://rmda.kulib.kyoto-u.ac.jp/item/rb00008736?page=145</v>
      </c>
      <c r="E2726" s="19">
        <v>30</v>
      </c>
      <c r="F2726" s="18" t="str">
        <f>HYPERLINK("https://rmda.kulib.kyoto-u.ac.jp/item/rb00000897?page=30")</f>
        <v>https://rmda.kulib.kyoto-u.ac.jp/item/rb00000897?page=30</v>
      </c>
      <c r="G2726" s="19">
        <v>111</v>
      </c>
    </row>
    <row r="2727" spans="1:7" x14ac:dyDescent="0.15">
      <c r="A2727" s="19" t="s">
        <v>8993</v>
      </c>
      <c r="B2727" s="19" t="s">
        <v>9032</v>
      </c>
      <c r="C2727" s="19">
        <v>146</v>
      </c>
      <c r="D2727" s="22" t="str">
        <f>HYPERLINK("https://rmda.kulib.kyoto-u.ac.jp/item/rb00008736?page=146")</f>
        <v>https://rmda.kulib.kyoto-u.ac.jp/item/rb00008736?page=146</v>
      </c>
      <c r="E2727" s="19">
        <v>30</v>
      </c>
      <c r="F2727" s="18" t="str">
        <f>HYPERLINK("https://rmda.kulib.kyoto-u.ac.jp/item/rb00000897?page=30")</f>
        <v>https://rmda.kulib.kyoto-u.ac.jp/item/rb00000897?page=30</v>
      </c>
      <c r="G2727" s="19">
        <v>113</v>
      </c>
    </row>
    <row r="2728" spans="1:7" x14ac:dyDescent="0.15">
      <c r="A2728" s="19" t="s">
        <v>8993</v>
      </c>
      <c r="B2728" s="19" t="s">
        <v>9033</v>
      </c>
      <c r="C2728" s="19">
        <v>147</v>
      </c>
      <c r="D2728" s="22" t="str">
        <f>HYPERLINK("https://rmda.kulib.kyoto-u.ac.jp/item/rb00008736?page=147")</f>
        <v>https://rmda.kulib.kyoto-u.ac.jp/item/rb00008736?page=147</v>
      </c>
      <c r="E2728" s="19">
        <v>32</v>
      </c>
      <c r="F2728" s="18" t="str">
        <f>HYPERLINK("https://rmda.kulib.kyoto-u.ac.jp/item/rb00000897?page=32")</f>
        <v>https://rmda.kulib.kyoto-u.ac.jp/item/rb00000897?page=32</v>
      </c>
      <c r="G2728" s="19">
        <v>115</v>
      </c>
    </row>
    <row r="2729" spans="1:7" x14ac:dyDescent="0.15">
      <c r="A2729" s="19" t="s">
        <v>8993</v>
      </c>
      <c r="B2729" s="19" t="s">
        <v>9034</v>
      </c>
      <c r="C2729" s="19">
        <v>147</v>
      </c>
      <c r="D2729" s="22" t="str">
        <f>HYPERLINK("https://rmda.kulib.kyoto-u.ac.jp/item/rb00008736?page=147")</f>
        <v>https://rmda.kulib.kyoto-u.ac.jp/item/rb00008736?page=147</v>
      </c>
      <c r="E2729" s="19" t="s">
        <v>9035</v>
      </c>
      <c r="F2729" s="19"/>
      <c r="G2729" s="19">
        <v>119</v>
      </c>
    </row>
    <row r="2730" spans="1:7" x14ac:dyDescent="0.15">
      <c r="A2730" s="19" t="s">
        <v>8993</v>
      </c>
      <c r="B2730" s="19" t="s">
        <v>9036</v>
      </c>
      <c r="C2730" s="19">
        <v>147</v>
      </c>
      <c r="D2730" s="22" t="str">
        <f>HYPERLINK("https://rmda.kulib.kyoto-u.ac.jp/item/rb00008736?page=147")</f>
        <v>https://rmda.kulib.kyoto-u.ac.jp/item/rb00008736?page=147</v>
      </c>
      <c r="E2730" s="19" t="s">
        <v>9035</v>
      </c>
      <c r="F2730" s="19"/>
      <c r="G2730" s="19">
        <v>119</v>
      </c>
    </row>
    <row r="2731" spans="1:7" x14ac:dyDescent="0.15">
      <c r="A2731" s="19" t="s">
        <v>8993</v>
      </c>
      <c r="B2731" s="19" t="s">
        <v>9037</v>
      </c>
      <c r="C2731" s="19">
        <v>153</v>
      </c>
      <c r="D2731" s="22" t="str">
        <f>HYPERLINK("https://rmda.kulib.kyoto-u.ac.jp/item/rb00008736?page=153")</f>
        <v>https://rmda.kulib.kyoto-u.ac.jp/item/rb00008736?page=153</v>
      </c>
      <c r="E2731" s="19" t="s">
        <v>9035</v>
      </c>
      <c r="F2731" s="19"/>
      <c r="G2731" s="19">
        <v>140</v>
      </c>
    </row>
    <row r="2732" spans="1:7" x14ac:dyDescent="0.15">
      <c r="A2732" s="19" t="s">
        <v>8993</v>
      </c>
      <c r="B2732" s="19" t="s">
        <v>9038</v>
      </c>
      <c r="C2732" s="19">
        <v>174</v>
      </c>
      <c r="D2732" s="22" t="str">
        <f>HYPERLINK("https://rmda.kulib.kyoto-u.ac.jp/item/rb00008736?page=174")</f>
        <v>https://rmda.kulib.kyoto-u.ac.jp/item/rb00008736?page=174</v>
      </c>
      <c r="E2732" s="19" t="s">
        <v>9035</v>
      </c>
      <c r="F2732" s="19"/>
      <c r="G2732" s="19">
        <v>182</v>
      </c>
    </row>
    <row r="2733" spans="1:7" x14ac:dyDescent="0.15">
      <c r="A2733" s="19" t="s">
        <v>8993</v>
      </c>
      <c r="B2733" s="19" t="s">
        <v>9039</v>
      </c>
      <c r="C2733" s="19">
        <v>174</v>
      </c>
      <c r="D2733" s="22" t="str">
        <f>HYPERLINK("https://rmda.kulib.kyoto-u.ac.jp/item/rb00008736?page=174")</f>
        <v>https://rmda.kulib.kyoto-u.ac.jp/item/rb00008736?page=174</v>
      </c>
      <c r="E2733" s="19" t="s">
        <v>9035</v>
      </c>
      <c r="F2733" s="19"/>
      <c r="G2733" s="19">
        <v>182</v>
      </c>
    </row>
    <row r="2734" spans="1:7" x14ac:dyDescent="0.15">
      <c r="A2734" s="19" t="s">
        <v>8993</v>
      </c>
      <c r="B2734" s="19" t="s">
        <v>9040</v>
      </c>
      <c r="C2734" s="19">
        <v>174</v>
      </c>
      <c r="D2734" s="22" t="str">
        <f>HYPERLINK("https://rmda.kulib.kyoto-u.ac.jp/item/rb00008736?page=174")</f>
        <v>https://rmda.kulib.kyoto-u.ac.jp/item/rb00008736?page=174</v>
      </c>
      <c r="E2734" s="19" t="s">
        <v>9035</v>
      </c>
      <c r="F2734" s="19"/>
      <c r="G2734" s="19">
        <v>185</v>
      </c>
    </row>
    <row r="2735" spans="1:7" x14ac:dyDescent="0.15">
      <c r="A2735" s="19" t="s">
        <v>8993</v>
      </c>
      <c r="B2735" s="19" t="s">
        <v>9041</v>
      </c>
      <c r="C2735" s="19">
        <v>175</v>
      </c>
      <c r="D2735" s="22" t="str">
        <f>HYPERLINK("https://rmda.kulib.kyoto-u.ac.jp/item/rb00008736?page=175")</f>
        <v>https://rmda.kulib.kyoto-u.ac.jp/item/rb00008736?page=175</v>
      </c>
      <c r="E2735" s="19" t="s">
        <v>9035</v>
      </c>
      <c r="F2735" s="19"/>
      <c r="G2735" s="19">
        <v>186</v>
      </c>
    </row>
    <row r="2736" spans="1:7" x14ac:dyDescent="0.15">
      <c r="A2736" s="19" t="s">
        <v>8993</v>
      </c>
      <c r="B2736" s="36" t="s">
        <v>9042</v>
      </c>
      <c r="C2736" s="19">
        <v>182</v>
      </c>
      <c r="D2736" s="22" t="str">
        <f>HYPERLINK("https://rmda.kulib.kyoto-u.ac.jp/item/rb00008736?page=182")</f>
        <v>https://rmda.kulib.kyoto-u.ac.jp/item/rb00008736?page=182</v>
      </c>
      <c r="E2736" s="19" t="s">
        <v>9035</v>
      </c>
      <c r="F2736" s="19"/>
      <c r="G2736" s="19"/>
    </row>
    <row r="2737" spans="1:7" x14ac:dyDescent="0.15">
      <c r="A2737" s="19" t="s">
        <v>8993</v>
      </c>
      <c r="B2737" s="19" t="s">
        <v>9043</v>
      </c>
      <c r="C2737" s="19">
        <v>178</v>
      </c>
      <c r="D2737" s="22" t="str">
        <f>HYPERLINK("https://rmda.kulib.kyoto-u.ac.jp/item/rb00008736?page=178")</f>
        <v>https://rmda.kulib.kyoto-u.ac.jp/item/rb00008736?page=178</v>
      </c>
      <c r="E2737" s="19" t="s">
        <v>9035</v>
      </c>
      <c r="F2737" s="19"/>
      <c r="G2737" s="19">
        <v>189</v>
      </c>
    </row>
    <row r="2738" spans="1:7" x14ac:dyDescent="0.15">
      <c r="A2738" s="19" t="s">
        <v>8993</v>
      </c>
      <c r="B2738" s="19" t="s">
        <v>9044</v>
      </c>
      <c r="C2738" s="19">
        <v>182</v>
      </c>
      <c r="D2738" s="22" t="str">
        <f>HYPERLINK("https://rmda.kulib.kyoto-u.ac.jp/item/rb00008736?page=182")</f>
        <v>https://rmda.kulib.kyoto-u.ac.jp/item/rb00008736?page=182</v>
      </c>
      <c r="E2738" s="19" t="s">
        <v>9035</v>
      </c>
      <c r="F2738" s="19"/>
      <c r="G2738" s="19">
        <v>191</v>
      </c>
    </row>
    <row r="2739" spans="1:7" x14ac:dyDescent="0.15">
      <c r="A2739" s="19" t="s">
        <v>8993</v>
      </c>
      <c r="B2739" s="19" t="s">
        <v>9045</v>
      </c>
      <c r="C2739" s="19">
        <v>182</v>
      </c>
      <c r="D2739" s="22" t="str">
        <f>HYPERLINK("https://rmda.kulib.kyoto-u.ac.jp/item/rb00008736?page=182")</f>
        <v>https://rmda.kulib.kyoto-u.ac.jp/item/rb00008736?page=182</v>
      </c>
      <c r="E2739" s="19" t="s">
        <v>9035</v>
      </c>
      <c r="F2739" s="19"/>
      <c r="G2739" s="19">
        <v>192</v>
      </c>
    </row>
    <row r="2740" spans="1:7" x14ac:dyDescent="0.15">
      <c r="A2740" s="19" t="s">
        <v>8993</v>
      </c>
      <c r="B2740" s="19" t="s">
        <v>9046</v>
      </c>
      <c r="C2740" s="19">
        <v>183</v>
      </c>
      <c r="D2740" s="22" t="str">
        <f>HYPERLINK("https://rmda.kulib.kyoto-u.ac.jp/item/rb00008736?page=183")</f>
        <v>https://rmda.kulib.kyoto-u.ac.jp/item/rb00008736?page=183</v>
      </c>
      <c r="E2740" s="19" t="s">
        <v>9035</v>
      </c>
      <c r="F2740" s="19"/>
      <c r="G2740" s="19">
        <v>194</v>
      </c>
    </row>
    <row r="2741" spans="1:7" x14ac:dyDescent="0.15">
      <c r="A2741" s="19" t="s">
        <v>8993</v>
      </c>
      <c r="B2741" s="19" t="s">
        <v>9047</v>
      </c>
      <c r="C2741" s="19">
        <v>183</v>
      </c>
      <c r="D2741" s="22" t="str">
        <f>HYPERLINK("https://rmda.kulib.kyoto-u.ac.jp/item/rb00008736?page=183")</f>
        <v>https://rmda.kulib.kyoto-u.ac.jp/item/rb00008736?page=183</v>
      </c>
      <c r="E2741" s="19" t="s">
        <v>9035</v>
      </c>
      <c r="F2741" s="19"/>
      <c r="G2741" s="19">
        <v>196</v>
      </c>
    </row>
    <row r="2742" spans="1:7" x14ac:dyDescent="0.15">
      <c r="A2742" s="19" t="s">
        <v>8993</v>
      </c>
      <c r="B2742" s="19" t="s">
        <v>9048</v>
      </c>
      <c r="C2742" s="19">
        <v>184</v>
      </c>
      <c r="D2742" s="22" t="str">
        <f>HYPERLINK("https://rmda.kulib.kyoto-u.ac.jp/item/rb00008736?page=184")</f>
        <v>https://rmda.kulib.kyoto-u.ac.jp/item/rb00008736?page=184</v>
      </c>
      <c r="E2742" s="19" t="s">
        <v>9035</v>
      </c>
      <c r="F2742" s="19"/>
      <c r="G2742" s="19">
        <v>197</v>
      </c>
    </row>
    <row r="2743" spans="1:7" x14ac:dyDescent="0.15">
      <c r="A2743" s="19" t="s">
        <v>8993</v>
      </c>
      <c r="B2743" s="19" t="s">
        <v>9049</v>
      </c>
      <c r="C2743" s="19">
        <v>185</v>
      </c>
      <c r="D2743" s="22" t="str">
        <f>HYPERLINK("https://rmda.kulib.kyoto-u.ac.jp/item/rb00008736?page=185")</f>
        <v>https://rmda.kulib.kyoto-u.ac.jp/item/rb00008736?page=185</v>
      </c>
      <c r="E2743" s="19" t="s">
        <v>9035</v>
      </c>
      <c r="F2743" s="19"/>
      <c r="G2743" s="19">
        <v>201</v>
      </c>
    </row>
    <row r="2744" spans="1:7" x14ac:dyDescent="0.15">
      <c r="A2744" s="19" t="s">
        <v>8993</v>
      </c>
      <c r="B2744" s="19" t="s">
        <v>9050</v>
      </c>
      <c r="C2744" s="19">
        <v>186</v>
      </c>
      <c r="D2744" s="22" t="str">
        <f>HYPERLINK("https://rmda.kulib.kyoto-u.ac.jp/item/rb00008736?page=186")</f>
        <v>https://rmda.kulib.kyoto-u.ac.jp/item/rb00008736?page=186</v>
      </c>
      <c r="E2744" s="19" t="s">
        <v>9035</v>
      </c>
      <c r="F2744" s="19"/>
      <c r="G2744" s="19">
        <v>203</v>
      </c>
    </row>
    <row r="2745" spans="1:7" x14ac:dyDescent="0.15">
      <c r="A2745" s="19" t="s">
        <v>8993</v>
      </c>
      <c r="B2745" s="19" t="s">
        <v>9051</v>
      </c>
      <c r="C2745" s="19">
        <v>186</v>
      </c>
      <c r="D2745" s="22" t="str">
        <f>HYPERLINK("https://rmda.kulib.kyoto-u.ac.jp/item/rb00008736?page=186")</f>
        <v>https://rmda.kulib.kyoto-u.ac.jp/item/rb00008736?page=186</v>
      </c>
      <c r="E2745" s="19" t="s">
        <v>9035</v>
      </c>
      <c r="F2745" s="19"/>
      <c r="G2745" s="19">
        <v>204</v>
      </c>
    </row>
    <row r="2746" spans="1:7" x14ac:dyDescent="0.15">
      <c r="A2746" s="19" t="s">
        <v>8993</v>
      </c>
      <c r="B2746" s="19" t="s">
        <v>9052</v>
      </c>
      <c r="C2746" s="19">
        <v>194</v>
      </c>
      <c r="D2746" s="22" t="str">
        <f>HYPERLINK("https://rmda.kulib.kyoto-u.ac.jp/item/rb00008736?page=194")</f>
        <v>https://rmda.kulib.kyoto-u.ac.jp/item/rb00008736?page=194</v>
      </c>
      <c r="E2746" s="19" t="s">
        <v>9035</v>
      </c>
      <c r="F2746" s="19"/>
      <c r="G2746" s="19">
        <v>217</v>
      </c>
    </row>
    <row r="2747" spans="1:7" x14ac:dyDescent="0.15">
      <c r="A2747" s="19" t="s">
        <v>8993</v>
      </c>
      <c r="B2747" s="19" t="s">
        <v>9053</v>
      </c>
      <c r="C2747" s="19">
        <v>202</v>
      </c>
      <c r="D2747" s="22" t="str">
        <f>HYPERLINK("https://rmda.kulib.kyoto-u.ac.jp/item/rb00008736?page=202")</f>
        <v>https://rmda.kulib.kyoto-u.ac.jp/item/rb00008736?page=202</v>
      </c>
      <c r="E2747" s="19" t="s">
        <v>9035</v>
      </c>
      <c r="F2747" s="19"/>
      <c r="G2747" s="19">
        <v>227</v>
      </c>
    </row>
    <row r="2748" spans="1:7" x14ac:dyDescent="0.15">
      <c r="A2748" s="19" t="s">
        <v>8993</v>
      </c>
      <c r="B2748" s="19" t="s">
        <v>9054</v>
      </c>
      <c r="C2748" s="19">
        <v>205</v>
      </c>
      <c r="D2748" s="22" t="str">
        <f>HYPERLINK("https://rmda.kulib.kyoto-u.ac.jp/item/rb00008736?page=205")</f>
        <v>https://rmda.kulib.kyoto-u.ac.jp/item/rb00008736?page=205</v>
      </c>
      <c r="E2748" s="19" t="s">
        <v>9035</v>
      </c>
      <c r="F2748" s="19"/>
      <c r="G2748" s="19">
        <v>235</v>
      </c>
    </row>
    <row r="2749" spans="1:7" x14ac:dyDescent="0.15">
      <c r="A2749" s="19" t="s">
        <v>8993</v>
      </c>
      <c r="B2749" s="19" t="s">
        <v>9055</v>
      </c>
      <c r="C2749" s="19">
        <v>212</v>
      </c>
      <c r="D2749" s="22" t="str">
        <f>HYPERLINK("https://rmda.kulib.kyoto-u.ac.jp/item/rb00008736?page=212")</f>
        <v>https://rmda.kulib.kyoto-u.ac.jp/item/rb00008736?page=212</v>
      </c>
      <c r="E2749" s="19" t="s">
        <v>9035</v>
      </c>
      <c r="F2749" s="19"/>
      <c r="G2749" s="19">
        <v>240</v>
      </c>
    </row>
    <row r="2750" spans="1:7" x14ac:dyDescent="0.15">
      <c r="A2750" s="19" t="s">
        <v>8993</v>
      </c>
      <c r="B2750" s="19" t="s">
        <v>9056</v>
      </c>
      <c r="C2750" s="19">
        <v>213</v>
      </c>
      <c r="D2750" s="22" t="str">
        <f>HYPERLINK("https://rmda.kulib.kyoto-u.ac.jp/item/rb00008736?page=213")</f>
        <v>https://rmda.kulib.kyoto-u.ac.jp/item/rb00008736?page=213</v>
      </c>
      <c r="E2750" s="19" t="s">
        <v>9035</v>
      </c>
      <c r="F2750" s="19"/>
      <c r="G2750" s="19">
        <v>246</v>
      </c>
    </row>
    <row r="2751" spans="1:7" x14ac:dyDescent="0.15">
      <c r="A2751" s="19" t="s">
        <v>8993</v>
      </c>
      <c r="B2751" s="19" t="s">
        <v>9057</v>
      </c>
      <c r="C2751" s="19">
        <v>222</v>
      </c>
      <c r="D2751" s="22" t="str">
        <f>HYPERLINK("https://rmda.kulib.kyoto-u.ac.jp/item/rb00008736?page=222")</f>
        <v>https://rmda.kulib.kyoto-u.ac.jp/item/rb00008736?page=222</v>
      </c>
      <c r="E2751" s="19" t="s">
        <v>9035</v>
      </c>
      <c r="F2751" s="19"/>
      <c r="G2751" s="19">
        <v>264</v>
      </c>
    </row>
    <row r="2752" spans="1:7" x14ac:dyDescent="0.15">
      <c r="A2752" s="19" t="s">
        <v>8993</v>
      </c>
      <c r="B2752" s="19" t="s">
        <v>9058</v>
      </c>
      <c r="C2752" s="19">
        <v>226</v>
      </c>
      <c r="D2752" s="22" t="str">
        <f>HYPERLINK("https://rmda.kulib.kyoto-u.ac.jp/item/rb00008736?page=226")</f>
        <v>https://rmda.kulib.kyoto-u.ac.jp/item/rb00008736?page=226</v>
      </c>
      <c r="E2752" s="19" t="s">
        <v>9035</v>
      </c>
      <c r="F2752" s="19"/>
      <c r="G2752" s="19">
        <v>267</v>
      </c>
    </row>
    <row r="2753" spans="1:7" x14ac:dyDescent="0.15">
      <c r="A2753" s="19" t="s">
        <v>8993</v>
      </c>
      <c r="B2753" s="19" t="s">
        <v>9059</v>
      </c>
      <c r="C2753" s="19">
        <v>226</v>
      </c>
      <c r="D2753" s="22" t="str">
        <f>HYPERLINK("https://rmda.kulib.kyoto-u.ac.jp/item/rb00008736?page=226")</f>
        <v>https://rmda.kulib.kyoto-u.ac.jp/item/rb00008736?page=226</v>
      </c>
      <c r="E2753" s="19" t="s">
        <v>9035</v>
      </c>
      <c r="F2753" s="19"/>
      <c r="G2753" s="19">
        <v>269</v>
      </c>
    </row>
    <row r="2754" spans="1:7" x14ac:dyDescent="0.15">
      <c r="A2754" s="19" t="s">
        <v>8993</v>
      </c>
      <c r="B2754" s="19" t="s">
        <v>9060</v>
      </c>
      <c r="C2754" s="19">
        <v>227</v>
      </c>
      <c r="D2754" s="22" t="str">
        <f>HYPERLINK("https://rmda.kulib.kyoto-u.ac.jp/item/rb00008736?page=227")</f>
        <v>https://rmda.kulib.kyoto-u.ac.jp/item/rb00008736?page=227</v>
      </c>
      <c r="E2754" s="19" t="s">
        <v>9035</v>
      </c>
      <c r="F2754" s="19"/>
      <c r="G2754" s="19">
        <v>270</v>
      </c>
    </row>
    <row r="2755" spans="1:7" x14ac:dyDescent="0.15">
      <c r="A2755" s="19" t="s">
        <v>8993</v>
      </c>
      <c r="B2755" s="19" t="s">
        <v>9061</v>
      </c>
      <c r="C2755" s="19">
        <v>228</v>
      </c>
      <c r="D2755" s="22" t="str">
        <f>HYPERLINK("https://rmda.kulib.kyoto-u.ac.jp/item/rb00008736?page=228")</f>
        <v>https://rmda.kulib.kyoto-u.ac.jp/item/rb00008736?page=228</v>
      </c>
      <c r="E2755" s="19" t="s">
        <v>9035</v>
      </c>
      <c r="F2755" s="19"/>
      <c r="G2755" s="19">
        <v>274</v>
      </c>
    </row>
    <row r="2756" spans="1:7" x14ac:dyDescent="0.15">
      <c r="A2756" s="19" t="s">
        <v>8993</v>
      </c>
      <c r="B2756" s="19" t="s">
        <v>9062</v>
      </c>
      <c r="C2756" s="19">
        <v>229</v>
      </c>
      <c r="D2756" s="22" t="str">
        <f>HYPERLINK("https://rmda.kulib.kyoto-u.ac.jp/item/rb00008736?page=229")</f>
        <v>https://rmda.kulib.kyoto-u.ac.jp/item/rb00008736?page=229</v>
      </c>
      <c r="E2756" s="19">
        <v>36</v>
      </c>
      <c r="F2756" s="18" t="str">
        <f>HYPERLINK("https://rmda.kulib.kyoto-u.ac.jp/item/rb00000897?page=36")</f>
        <v>https://rmda.kulib.kyoto-u.ac.jp/item/rb00000897?page=36</v>
      </c>
      <c r="G2756" s="19">
        <v>278</v>
      </c>
    </row>
    <row r="2757" spans="1:7" x14ac:dyDescent="0.15">
      <c r="A2757" s="19" t="s">
        <v>8993</v>
      </c>
      <c r="B2757" s="19" t="s">
        <v>9063</v>
      </c>
      <c r="C2757" s="19">
        <v>229</v>
      </c>
      <c r="D2757" s="22" t="str">
        <f>HYPERLINK("https://rmda.kulib.kyoto-u.ac.jp/item/rb00008736?page=229")</f>
        <v>https://rmda.kulib.kyoto-u.ac.jp/item/rb00008736?page=229</v>
      </c>
      <c r="E2757" s="19">
        <v>36</v>
      </c>
      <c r="F2757" s="18" t="str">
        <f>HYPERLINK("https://rmda.kulib.kyoto-u.ac.jp/item/rb00000897?page=36")</f>
        <v>https://rmda.kulib.kyoto-u.ac.jp/item/rb00000897?page=36</v>
      </c>
      <c r="G2757" s="19">
        <v>278</v>
      </c>
    </row>
    <row r="2758" spans="1:7" x14ac:dyDescent="0.15">
      <c r="A2758" s="19" t="s">
        <v>8993</v>
      </c>
      <c r="B2758" s="19" t="s">
        <v>9064</v>
      </c>
      <c r="C2758" s="19">
        <v>233</v>
      </c>
      <c r="D2758" s="22" t="str">
        <f>HYPERLINK("https://rmda.kulib.kyoto-u.ac.jp/item/rb00008736?page=233")</f>
        <v>https://rmda.kulib.kyoto-u.ac.jp/item/rb00008736?page=233</v>
      </c>
      <c r="E2758" s="19">
        <v>40</v>
      </c>
      <c r="F2758" s="18" t="str">
        <f>HYPERLINK("https://rmda.kulib.kyoto-u.ac.jp/item/rb00000897?page=40")</f>
        <v>https://rmda.kulib.kyoto-u.ac.jp/item/rb00000897?page=40</v>
      </c>
      <c r="G2758" s="19">
        <v>291</v>
      </c>
    </row>
    <row r="2759" spans="1:7" x14ac:dyDescent="0.15">
      <c r="A2759" s="19" t="s">
        <v>8993</v>
      </c>
      <c r="B2759" s="19" t="s">
        <v>9065</v>
      </c>
      <c r="C2759" s="19">
        <v>252</v>
      </c>
      <c r="D2759" s="22" t="str">
        <f>HYPERLINK("https://rmda.kulib.kyoto-u.ac.jp/item/rb00008736?page=252")</f>
        <v>https://rmda.kulib.kyoto-u.ac.jp/item/rb00008736?page=252</v>
      </c>
      <c r="E2759" s="19">
        <v>60</v>
      </c>
      <c r="F2759" s="18" t="str">
        <f>HYPERLINK("https://rmda.kulib.kyoto-u.ac.jp/item/rb00000897?page=60")</f>
        <v>https://rmda.kulib.kyoto-u.ac.jp/item/rb00000897?page=60</v>
      </c>
      <c r="G2759" s="19">
        <v>318</v>
      </c>
    </row>
    <row r="2760" spans="1:7" x14ac:dyDescent="0.15">
      <c r="A2760" s="19" t="s">
        <v>8993</v>
      </c>
      <c r="B2760" s="19" t="s">
        <v>9066</v>
      </c>
      <c r="C2760" s="19">
        <v>253</v>
      </c>
      <c r="D2760" s="22" t="str">
        <f>HYPERLINK("https://rmda.kulib.kyoto-u.ac.jp/item/rb00008736?page=253")</f>
        <v>https://rmda.kulib.kyoto-u.ac.jp/item/rb00008736?page=253</v>
      </c>
      <c r="E2760" s="19">
        <v>61</v>
      </c>
      <c r="F2760" s="18" t="str">
        <f>HYPERLINK("https://rmda.kulib.kyoto-u.ac.jp/item/rb00000897?page=61")</f>
        <v>https://rmda.kulib.kyoto-u.ac.jp/item/rb00000897?page=61</v>
      </c>
      <c r="G2760" s="19">
        <v>319</v>
      </c>
    </row>
    <row r="2761" spans="1:7" x14ac:dyDescent="0.15">
      <c r="A2761" s="19" t="s">
        <v>8993</v>
      </c>
      <c r="B2761" s="19" t="s">
        <v>9067</v>
      </c>
      <c r="C2761" s="19">
        <v>253</v>
      </c>
      <c r="D2761" s="22" t="str">
        <f>HYPERLINK("https://rmda.kulib.kyoto-u.ac.jp/item/rb00008736?page=253")</f>
        <v>https://rmda.kulib.kyoto-u.ac.jp/item/rb00008736?page=253</v>
      </c>
      <c r="E2761" s="19">
        <v>61</v>
      </c>
      <c r="F2761" s="18" t="str">
        <f>HYPERLINK("https://rmda.kulib.kyoto-u.ac.jp/item/rb00000897?page=61")</f>
        <v>https://rmda.kulib.kyoto-u.ac.jp/item/rb00000897?page=61</v>
      </c>
      <c r="G2761" s="19">
        <v>320</v>
      </c>
    </row>
    <row r="2762" spans="1:7" x14ac:dyDescent="0.15">
      <c r="A2762" s="19" t="s">
        <v>8993</v>
      </c>
      <c r="B2762" s="19" t="s">
        <v>9068</v>
      </c>
      <c r="C2762" s="19">
        <v>254</v>
      </c>
      <c r="D2762" s="22" t="str">
        <f>HYPERLINK("https://rmda.kulib.kyoto-u.ac.jp/item/rb00008736?page=254")</f>
        <v>https://rmda.kulib.kyoto-u.ac.jp/item/rb00008736?page=254</v>
      </c>
      <c r="E2762" s="19">
        <v>62</v>
      </c>
      <c r="F2762" s="18" t="str">
        <f>HYPERLINK("https://rmda.kulib.kyoto-u.ac.jp/item/rb00000897?page=62")</f>
        <v>https://rmda.kulib.kyoto-u.ac.jp/item/rb00000897?page=62</v>
      </c>
      <c r="G2762" s="19">
        <v>321</v>
      </c>
    </row>
    <row r="2763" spans="1:7" x14ac:dyDescent="0.15">
      <c r="A2763" s="19" t="s">
        <v>8993</v>
      </c>
      <c r="B2763" s="19" t="s">
        <v>9069</v>
      </c>
      <c r="C2763" s="19">
        <v>255</v>
      </c>
      <c r="D2763" s="38" t="str">
        <f>HYPERLINK("https://rmda.kulib.kyoto-u.ac.jp/item/rb00008736?page=255")</f>
        <v>https://rmda.kulib.kyoto-u.ac.jp/item/rb00008736?page=255</v>
      </c>
      <c r="E2763" s="19">
        <v>63</v>
      </c>
      <c r="F2763" s="18" t="str">
        <f>HYPERLINK("https://rmda.kulib.kyoto-u.ac.jp/item/rb00000897?page=63")</f>
        <v>https://rmda.kulib.kyoto-u.ac.jp/item/rb00000897?page=63</v>
      </c>
      <c r="G2763" s="19">
        <v>322</v>
      </c>
    </row>
    <row r="2764" spans="1:7" x14ac:dyDescent="0.15">
      <c r="A2764" s="19" t="s">
        <v>8993</v>
      </c>
      <c r="B2764" s="19" t="s">
        <v>9070</v>
      </c>
      <c r="C2764" s="19">
        <v>257</v>
      </c>
      <c r="D2764" s="22" t="str">
        <f>HYPERLINK("https://rmda.kulib.kyoto-u.ac.jp/item/rb00008736?page=257")</f>
        <v>https://rmda.kulib.kyoto-u.ac.jp/item/rb00008736?page=257</v>
      </c>
      <c r="E2764" s="19">
        <v>65</v>
      </c>
      <c r="F2764" s="18" t="str">
        <f>HYPERLINK("https://rmda.kulib.kyoto-u.ac.jp/item/rb00000897?page=65")</f>
        <v>https://rmda.kulib.kyoto-u.ac.jp/item/rb00000897?page=65</v>
      </c>
      <c r="G2764" s="19">
        <v>323</v>
      </c>
    </row>
    <row r="2765" spans="1:7" x14ac:dyDescent="0.15">
      <c r="A2765" s="19" t="s">
        <v>8993</v>
      </c>
      <c r="B2765" s="19" t="s">
        <v>9071</v>
      </c>
      <c r="C2765" s="19">
        <v>260</v>
      </c>
      <c r="D2765" s="22" t="str">
        <f>HYPERLINK("https://rmda.kulib.kyoto-u.ac.jp/item/rb00008736?page=260")</f>
        <v>https://rmda.kulib.kyoto-u.ac.jp/item/rb00008736?page=260</v>
      </c>
      <c r="E2765" s="19">
        <v>68</v>
      </c>
      <c r="F2765" s="18" t="str">
        <f>HYPERLINK("https://rmda.kulib.kyoto-u.ac.jp/item/rb00000897?page=68")</f>
        <v>https://rmda.kulib.kyoto-u.ac.jp/item/rb00000897?page=68</v>
      </c>
      <c r="G2765" s="19">
        <v>326</v>
      </c>
    </row>
    <row r="2766" spans="1:7" x14ac:dyDescent="0.15">
      <c r="A2766" s="19" t="s">
        <v>8993</v>
      </c>
      <c r="B2766" s="19" t="s">
        <v>9072</v>
      </c>
      <c r="C2766" s="19">
        <v>262</v>
      </c>
      <c r="D2766" s="22" t="str">
        <f>HYPERLINK("https://rmda.kulib.kyoto-u.ac.jp/item/rb00008736?page=262")</f>
        <v>https://rmda.kulib.kyoto-u.ac.jp/item/rb00008736?page=262</v>
      </c>
      <c r="E2766" s="19">
        <v>70</v>
      </c>
      <c r="F2766" s="18" t="str">
        <f>HYPERLINK("https://rmda.kulib.kyoto-u.ac.jp/item/rb00000897?page=70")</f>
        <v>https://rmda.kulib.kyoto-u.ac.jp/item/rb00000897?page=70</v>
      </c>
      <c r="G2766" s="19">
        <v>328</v>
      </c>
    </row>
    <row r="2767" spans="1:7" x14ac:dyDescent="0.15">
      <c r="A2767" s="19" t="s">
        <v>8993</v>
      </c>
      <c r="B2767" s="19" t="s">
        <v>9073</v>
      </c>
      <c r="C2767" s="19">
        <v>262</v>
      </c>
      <c r="D2767" s="22" t="str">
        <f>HYPERLINK("https://rmda.kulib.kyoto-u.ac.jp/item/rb00008736?page=262")</f>
        <v>https://rmda.kulib.kyoto-u.ac.jp/item/rb00008736?page=262</v>
      </c>
      <c r="E2767" s="19">
        <v>70</v>
      </c>
      <c r="F2767" s="18" t="str">
        <f>HYPERLINK("https://rmda.kulib.kyoto-u.ac.jp/item/rb00000897?page=70")</f>
        <v>https://rmda.kulib.kyoto-u.ac.jp/item/rb00000897?page=70</v>
      </c>
      <c r="G2767" s="19">
        <v>328</v>
      </c>
    </row>
    <row r="2768" spans="1:7" x14ac:dyDescent="0.15">
      <c r="A2768" s="19" t="s">
        <v>8993</v>
      </c>
      <c r="B2768" s="19" t="s">
        <v>9074</v>
      </c>
      <c r="C2768" s="19">
        <v>264</v>
      </c>
      <c r="D2768" s="22" t="str">
        <f>HYPERLINK("https://rmda.kulib.kyoto-u.ac.jp/item/rb00008736?page=264")</f>
        <v>https://rmda.kulib.kyoto-u.ac.jp/item/rb00008736?page=264</v>
      </c>
      <c r="E2768" s="19">
        <v>72</v>
      </c>
      <c r="F2768" s="18" t="str">
        <f>HYPERLINK("https://rmda.kulib.kyoto-u.ac.jp/item/rb00000897?page=72")</f>
        <v>https://rmda.kulib.kyoto-u.ac.jp/item/rb00000897?page=72</v>
      </c>
      <c r="G2768" s="19">
        <v>330</v>
      </c>
    </row>
    <row r="2769" spans="1:7" x14ac:dyDescent="0.15">
      <c r="A2769" s="19" t="s">
        <v>8993</v>
      </c>
      <c r="B2769" s="19" t="s">
        <v>9075</v>
      </c>
      <c r="C2769" s="19">
        <v>264</v>
      </c>
      <c r="D2769" s="22" t="str">
        <f>HYPERLINK("https://rmda.kulib.kyoto-u.ac.jp/item/rb00008736?page=264")</f>
        <v>https://rmda.kulib.kyoto-u.ac.jp/item/rb00008736?page=264</v>
      </c>
      <c r="E2769" s="19">
        <v>72</v>
      </c>
      <c r="F2769" s="18" t="str">
        <f>HYPERLINK("https://rmda.kulib.kyoto-u.ac.jp/item/rb00000897?page=72")</f>
        <v>https://rmda.kulib.kyoto-u.ac.jp/item/rb00000897?page=72</v>
      </c>
      <c r="G2769" s="19">
        <v>330</v>
      </c>
    </row>
    <row r="2770" spans="1:7" x14ac:dyDescent="0.15">
      <c r="A2770" s="19" t="s">
        <v>8993</v>
      </c>
      <c r="B2770" s="19" t="s">
        <v>9076</v>
      </c>
      <c r="C2770" s="19">
        <v>264</v>
      </c>
      <c r="D2770" s="22" t="str">
        <f>HYPERLINK("https://rmda.kulib.kyoto-u.ac.jp/item/rb00008736?page=264")</f>
        <v>https://rmda.kulib.kyoto-u.ac.jp/item/rb00008736?page=264</v>
      </c>
      <c r="E2770" s="19">
        <v>73</v>
      </c>
      <c r="F2770" s="18" t="str">
        <f>HYPERLINK("https://rmda.kulib.kyoto-u.ac.jp/item/rb00000897?page=73")</f>
        <v>https://rmda.kulib.kyoto-u.ac.jp/item/rb00000897?page=73</v>
      </c>
      <c r="G2770" s="19">
        <v>330</v>
      </c>
    </row>
    <row r="2771" spans="1:7" x14ac:dyDescent="0.15">
      <c r="A2771" s="19" t="s">
        <v>8993</v>
      </c>
      <c r="B2771" s="19" t="s">
        <v>9077</v>
      </c>
      <c r="C2771" s="19"/>
      <c r="D2771" s="22"/>
      <c r="E2771" s="19">
        <v>73</v>
      </c>
      <c r="F2771" s="18" t="str">
        <f>HYPERLINK("https://rmda.kulib.kyoto-u.ac.jp/item/rb00000897?page=73")</f>
        <v>https://rmda.kulib.kyoto-u.ac.jp/item/rb00000897?page=73</v>
      </c>
      <c r="G2771" s="19"/>
    </row>
    <row r="2772" spans="1:7" x14ac:dyDescent="0.15">
      <c r="A2772" s="19" t="s">
        <v>8993</v>
      </c>
      <c r="B2772" s="19" t="s">
        <v>9078</v>
      </c>
      <c r="C2772" s="19">
        <v>265</v>
      </c>
      <c r="D2772" s="22" t="str">
        <f>HYPERLINK("https://rmda.kulib.kyoto-u.ac.jp/item/rb00008736?page=265")</f>
        <v>https://rmda.kulib.kyoto-u.ac.jp/item/rb00008736?page=265</v>
      </c>
      <c r="E2772" s="19">
        <v>73</v>
      </c>
      <c r="F2772" s="18" t="str">
        <f>HYPERLINK("https://rmda.kulib.kyoto-u.ac.jp/item/rb00000897?page=73")</f>
        <v>https://rmda.kulib.kyoto-u.ac.jp/item/rb00000897?page=73</v>
      </c>
      <c r="G2772" s="19">
        <v>331</v>
      </c>
    </row>
    <row r="2773" spans="1:7" x14ac:dyDescent="0.15">
      <c r="A2773" s="19" t="s">
        <v>8993</v>
      </c>
      <c r="B2773" s="19" t="s">
        <v>9079</v>
      </c>
      <c r="C2773" s="19">
        <v>265</v>
      </c>
      <c r="D2773" s="22" t="str">
        <f>HYPERLINK("https://rmda.kulib.kyoto-u.ac.jp/item/rb00008736?page=265")</f>
        <v>https://rmda.kulib.kyoto-u.ac.jp/item/rb00008736?page=265</v>
      </c>
      <c r="E2773" s="19">
        <v>73</v>
      </c>
      <c r="F2773" s="18" t="str">
        <f>HYPERLINK("https://rmda.kulib.kyoto-u.ac.jp/item/rb00000897?page=73")</f>
        <v>https://rmda.kulib.kyoto-u.ac.jp/item/rb00000897?page=73</v>
      </c>
      <c r="G2773" s="19">
        <v>331</v>
      </c>
    </row>
    <row r="2774" spans="1:7" x14ac:dyDescent="0.15">
      <c r="A2774" s="19" t="s">
        <v>8993</v>
      </c>
      <c r="B2774" s="19" t="s">
        <v>9080</v>
      </c>
      <c r="C2774" s="19">
        <v>265</v>
      </c>
      <c r="D2774" s="22" t="str">
        <f>HYPERLINK("https://rmda.kulib.kyoto-u.ac.jp/item/rb00008736?page=265")</f>
        <v>https://rmda.kulib.kyoto-u.ac.jp/item/rb00008736?page=265</v>
      </c>
      <c r="E2774" s="19">
        <v>74</v>
      </c>
      <c r="F2774" s="18" t="str">
        <f>HYPERLINK("https://rmda.kulib.kyoto-u.ac.jp/item/rb00000897?page=74")</f>
        <v>https://rmda.kulib.kyoto-u.ac.jp/item/rb00000897?page=74</v>
      </c>
      <c r="G2774" s="19">
        <v>332</v>
      </c>
    </row>
    <row r="2775" spans="1:7" x14ac:dyDescent="0.15">
      <c r="A2775" s="19" t="s">
        <v>8993</v>
      </c>
      <c r="B2775" s="19" t="s">
        <v>9081</v>
      </c>
      <c r="C2775" s="19">
        <v>265</v>
      </c>
      <c r="D2775" s="22" t="str">
        <f>HYPERLINK("https://rmda.kulib.kyoto-u.ac.jp/item/rb00008736?page=265")</f>
        <v>https://rmda.kulib.kyoto-u.ac.jp/item/rb00008736?page=265</v>
      </c>
      <c r="E2775" s="19">
        <v>74</v>
      </c>
      <c r="F2775" s="18" t="str">
        <f>HYPERLINK("https://rmda.kulib.kyoto-u.ac.jp/item/rb00000897?page=74")</f>
        <v>https://rmda.kulib.kyoto-u.ac.jp/item/rb00000897?page=74</v>
      </c>
      <c r="G2775" s="19">
        <v>332</v>
      </c>
    </row>
    <row r="2776" spans="1:7" x14ac:dyDescent="0.15">
      <c r="A2776" s="19" t="s">
        <v>8993</v>
      </c>
      <c r="B2776" s="19" t="s">
        <v>9082</v>
      </c>
      <c r="C2776" s="19">
        <v>266</v>
      </c>
      <c r="D2776" s="22" t="str">
        <f>HYPERLINK("https://rmda.kulib.kyoto-u.ac.jp/item/rb00008736?page=266")</f>
        <v>https://rmda.kulib.kyoto-u.ac.jp/item/rb00008736?page=266</v>
      </c>
      <c r="E2776" s="19">
        <v>74</v>
      </c>
      <c r="F2776" s="18" t="str">
        <f>HYPERLINK("https://rmda.kulib.kyoto-u.ac.jp/item/rb00000897?page=74")</f>
        <v>https://rmda.kulib.kyoto-u.ac.jp/item/rb00000897?page=74</v>
      </c>
      <c r="G2776" s="19">
        <v>332</v>
      </c>
    </row>
    <row r="2777" spans="1:7" x14ac:dyDescent="0.15">
      <c r="A2777" s="19" t="s">
        <v>8993</v>
      </c>
      <c r="B2777" s="19" t="s">
        <v>9083</v>
      </c>
      <c r="C2777" s="19">
        <v>266</v>
      </c>
      <c r="D2777" s="22" t="str">
        <f>HYPERLINK("https://rmda.kulib.kyoto-u.ac.jp/item/rb00008736?page=266")</f>
        <v>https://rmda.kulib.kyoto-u.ac.jp/item/rb00008736?page=266</v>
      </c>
      <c r="E2777" s="19">
        <v>74</v>
      </c>
      <c r="F2777" s="18" t="str">
        <f>HYPERLINK("https://rmda.kulib.kyoto-u.ac.jp/item/rb00000897?page=74")</f>
        <v>https://rmda.kulib.kyoto-u.ac.jp/item/rb00000897?page=74</v>
      </c>
      <c r="G2777" s="19">
        <v>332</v>
      </c>
    </row>
    <row r="2778" spans="1:7" x14ac:dyDescent="0.15">
      <c r="A2778" s="19" t="s">
        <v>8993</v>
      </c>
      <c r="B2778" s="19" t="s">
        <v>9084</v>
      </c>
      <c r="C2778" s="19">
        <v>266</v>
      </c>
      <c r="D2778" s="22" t="str">
        <f>HYPERLINK("https://rmda.kulib.kyoto-u.ac.jp/item/rb00008736?page=266")</f>
        <v>https://rmda.kulib.kyoto-u.ac.jp/item/rb00008736?page=266</v>
      </c>
      <c r="E2778" s="19">
        <v>74</v>
      </c>
      <c r="F2778" s="18" t="str">
        <f>HYPERLINK("https://rmda.kulib.kyoto-u.ac.jp/item/rb00000897?page=74")</f>
        <v>https://rmda.kulib.kyoto-u.ac.jp/item/rb00000897?page=74</v>
      </c>
      <c r="G2778" s="19">
        <v>332</v>
      </c>
    </row>
    <row r="2779" spans="1:7" x14ac:dyDescent="0.15">
      <c r="A2779" s="19" t="s">
        <v>8993</v>
      </c>
      <c r="B2779" s="19" t="s">
        <v>9085</v>
      </c>
      <c r="C2779" s="19"/>
      <c r="D2779" s="22"/>
      <c r="E2779" s="19">
        <v>75</v>
      </c>
      <c r="F2779" s="18" t="str">
        <f>HYPERLINK("https://rmda.kulib.kyoto-u.ac.jp/item/rb00000897?page=75")</f>
        <v>https://rmda.kulib.kyoto-u.ac.jp/item/rb00000897?page=75</v>
      </c>
      <c r="G2779" s="19">
        <v>332</v>
      </c>
    </row>
    <row r="2780" spans="1:7" x14ac:dyDescent="0.15">
      <c r="A2780" s="19" t="s">
        <v>8993</v>
      </c>
      <c r="B2780" s="19" t="s">
        <v>9086</v>
      </c>
      <c r="C2780" s="19"/>
      <c r="D2780" s="22"/>
      <c r="E2780" s="19">
        <v>75</v>
      </c>
      <c r="F2780" s="18" t="str">
        <f>HYPERLINK("https://rmda.kulib.kyoto-u.ac.jp/item/rb00000897?page=75")</f>
        <v>https://rmda.kulib.kyoto-u.ac.jp/item/rb00000897?page=75</v>
      </c>
      <c r="G2780" s="19">
        <v>332</v>
      </c>
    </row>
    <row r="2781" spans="1:7" x14ac:dyDescent="0.15">
      <c r="A2781" s="19" t="s">
        <v>8993</v>
      </c>
      <c r="B2781" s="36" t="s">
        <v>9087</v>
      </c>
      <c r="C2781" s="19"/>
      <c r="D2781" s="22"/>
      <c r="E2781" s="19"/>
      <c r="F2781" s="19"/>
      <c r="G2781" s="19"/>
    </row>
    <row r="2782" spans="1:7" x14ac:dyDescent="0.15">
      <c r="A2782" s="19" t="s">
        <v>8993</v>
      </c>
      <c r="B2782" s="19" t="s">
        <v>9088</v>
      </c>
      <c r="C2782" s="19">
        <v>269</v>
      </c>
      <c r="D2782" s="22" t="str">
        <f>HYPERLINK("https://rmda.kulib.kyoto-u.ac.jp/item/rb00008736?page=269")</f>
        <v>https://rmda.kulib.kyoto-u.ac.jp/item/rb00008736?page=269</v>
      </c>
      <c r="E2782" s="19"/>
      <c r="F2782" s="19"/>
      <c r="G2782" s="19">
        <v>336</v>
      </c>
    </row>
    <row r="2783" spans="1:7" x14ac:dyDescent="0.15">
      <c r="A2783" s="19" t="s">
        <v>8993</v>
      </c>
      <c r="B2783" s="19" t="s">
        <v>8518</v>
      </c>
      <c r="C2783" s="19">
        <v>270</v>
      </c>
      <c r="D2783" s="22" t="str">
        <f>HYPERLINK("https://rmda.kulib.kyoto-u.ac.jp/item/rb00008736?page=270")</f>
        <v>https://rmda.kulib.kyoto-u.ac.jp/item/rb00008736?page=270</v>
      </c>
      <c r="E2783" s="19"/>
      <c r="F2783" s="19"/>
      <c r="G2783" s="19"/>
    </row>
    <row r="2784" spans="1:7" x14ac:dyDescent="0.15">
      <c r="A2784" s="19" t="s">
        <v>8993</v>
      </c>
      <c r="B2784" s="19" t="s">
        <v>9089</v>
      </c>
      <c r="C2784" s="19">
        <v>281</v>
      </c>
      <c r="D2784" s="22" t="str">
        <f>HYPERLINK("https://rmda.kulib.kyoto-u.ac.jp/item/rb00008736?page=281")</f>
        <v>https://rmda.kulib.kyoto-u.ac.jp/item/rb00008736?page=281</v>
      </c>
      <c r="E2784" s="19"/>
      <c r="F2784" s="19"/>
      <c r="G2784" s="19"/>
    </row>
    <row r="2785" spans="1:7" x14ac:dyDescent="0.15">
      <c r="A2785" s="19" t="s">
        <v>8993</v>
      </c>
      <c r="B2785" s="36" t="s">
        <v>9090</v>
      </c>
      <c r="C2785" s="19">
        <v>290</v>
      </c>
      <c r="D2785" s="22" t="str">
        <f>HYPERLINK("https://rmda.kulib.kyoto-u.ac.jp/item/rb00008736?page=290")</f>
        <v>https://rmda.kulib.kyoto-u.ac.jp/item/rb00008736?page=290</v>
      </c>
      <c r="E2785" s="19"/>
      <c r="F2785" s="19"/>
      <c r="G2785" s="19">
        <v>350</v>
      </c>
    </row>
    <row r="2786" spans="1:7" x14ac:dyDescent="0.15">
      <c r="A2786" s="19" t="s">
        <v>8993</v>
      </c>
      <c r="B2786" s="19" t="s">
        <v>9091</v>
      </c>
      <c r="C2786" s="19">
        <v>290</v>
      </c>
      <c r="D2786" s="22" t="str">
        <f>HYPERLINK("https://rmda.kulib.kyoto-u.ac.jp/item/rb00008736?page=290")</f>
        <v>https://rmda.kulib.kyoto-u.ac.jp/item/rb00008736?page=290</v>
      </c>
      <c r="E2786" s="19"/>
      <c r="F2786" s="19"/>
      <c r="G2786" s="19">
        <v>354</v>
      </c>
    </row>
    <row r="2787" spans="1:7" x14ac:dyDescent="0.15">
      <c r="A2787" s="19" t="s">
        <v>8993</v>
      </c>
      <c r="B2787" s="19" t="s">
        <v>9092</v>
      </c>
      <c r="C2787" s="19">
        <v>308</v>
      </c>
      <c r="D2787" s="22" t="str">
        <f>HYPERLINK("https://rmda.kulib.kyoto-u.ac.jp/item/rb00008736?page=308")</f>
        <v>https://rmda.kulib.kyoto-u.ac.jp/item/rb00008736?page=308</v>
      </c>
      <c r="E2787" s="19"/>
      <c r="F2787" s="19"/>
      <c r="G2787" s="19"/>
    </row>
    <row r="2788" spans="1:7" x14ac:dyDescent="0.15">
      <c r="A2788" s="19" t="s">
        <v>8993</v>
      </c>
      <c r="B2788" s="19" t="s">
        <v>9093</v>
      </c>
      <c r="C2788" s="19">
        <v>339</v>
      </c>
      <c r="D2788" s="22" t="str">
        <f>HYPERLINK("https://rmda.kulib.kyoto-u.ac.jp/item/rb00008736?page=339")</f>
        <v>https://rmda.kulib.kyoto-u.ac.jp/item/rb00008736?page=339</v>
      </c>
      <c r="E2788" s="19"/>
      <c r="F2788" s="19"/>
      <c r="G2788" s="19"/>
    </row>
    <row r="2789" spans="1:7" x14ac:dyDescent="0.15">
      <c r="A2789" s="19" t="s">
        <v>8993</v>
      </c>
      <c r="B2789" s="19" t="s">
        <v>9094</v>
      </c>
      <c r="C2789" s="19">
        <v>360</v>
      </c>
      <c r="D2789" s="22" t="str">
        <f>HYPERLINK("https://rmda.kulib.kyoto-u.ac.jp/item/rb00008736?page=360")</f>
        <v>https://rmda.kulib.kyoto-u.ac.jp/item/rb00008736?page=360</v>
      </c>
      <c r="E2789" s="19"/>
      <c r="F2789" s="19"/>
      <c r="G2789" s="19"/>
    </row>
    <row r="2790" spans="1:7" x14ac:dyDescent="0.15">
      <c r="A2790" s="19" t="s">
        <v>8993</v>
      </c>
      <c r="B2790" s="19" t="s">
        <v>9095</v>
      </c>
      <c r="C2790" s="19">
        <v>388</v>
      </c>
      <c r="D2790" s="22" t="str">
        <f>HYPERLINK("https://rmda.kulib.kyoto-u.ac.jp/item/rb00008736?page=388")</f>
        <v>https://rmda.kulib.kyoto-u.ac.jp/item/rb00008736?page=388</v>
      </c>
      <c r="E2790" s="19"/>
      <c r="F2790" s="19"/>
      <c r="G2790" s="19"/>
    </row>
    <row r="2791" spans="1:7" x14ac:dyDescent="0.15">
      <c r="A2791" s="19" t="s">
        <v>8993</v>
      </c>
      <c r="B2791" s="36" t="s">
        <v>9096</v>
      </c>
      <c r="C2791" s="19">
        <v>415</v>
      </c>
      <c r="D2791" s="22" t="str">
        <f>HYPERLINK("https://rmda.kulib.kyoto-u.ac.jp/item/rb00008736?page=415")</f>
        <v>https://rmda.kulib.kyoto-u.ac.jp/item/rb00008736?page=415</v>
      </c>
      <c r="E2791" s="19"/>
      <c r="F2791" s="19"/>
      <c r="G2791" s="19"/>
    </row>
    <row r="2792" spans="1:7" x14ac:dyDescent="0.15">
      <c r="A2792" s="19" t="s">
        <v>8993</v>
      </c>
      <c r="B2792" s="19" t="s">
        <v>9097</v>
      </c>
      <c r="C2792" s="19">
        <v>415</v>
      </c>
      <c r="D2792" s="22" t="str">
        <f>HYPERLINK("https://rmda.kulib.kyoto-u.ac.jp/item/rb00008736?page=415")</f>
        <v>https://rmda.kulib.kyoto-u.ac.jp/item/rb00008736?page=415</v>
      </c>
      <c r="E2792" s="19"/>
      <c r="F2792" s="19"/>
      <c r="G2792" s="19"/>
    </row>
    <row r="2793" spans="1:7" x14ac:dyDescent="0.15">
      <c r="A2793" s="19" t="s">
        <v>8993</v>
      </c>
      <c r="B2793" s="19" t="s">
        <v>9098</v>
      </c>
      <c r="C2793" s="19">
        <v>447</v>
      </c>
      <c r="D2793" s="22" t="str">
        <f>HYPERLINK("https://rmda.kulib.kyoto-u.ac.jp/item/rb00008736?page=447")</f>
        <v>https://rmda.kulib.kyoto-u.ac.jp/item/rb00008736?page=447</v>
      </c>
      <c r="E2793" s="19"/>
      <c r="F2793" s="19"/>
      <c r="G2793" s="19"/>
    </row>
    <row r="2794" spans="1:7" x14ac:dyDescent="0.15">
      <c r="A2794" s="19" t="s">
        <v>8993</v>
      </c>
      <c r="B2794" s="39" t="s">
        <v>9099</v>
      </c>
      <c r="C2794" s="19">
        <v>497</v>
      </c>
      <c r="D2794" s="22" t="str">
        <f>HYPERLINK("https://rmda.kulib.kyoto-u.ac.jp/item/rb00008736?page=497")</f>
        <v>https://rmda.kulib.kyoto-u.ac.jp/item/rb00008736?page=497</v>
      </c>
      <c r="E2794" s="19"/>
      <c r="F2794" s="19"/>
      <c r="G2794" s="19"/>
    </row>
    <row r="2795" spans="1:7" x14ac:dyDescent="0.15">
      <c r="A2795" s="19" t="s">
        <v>8993</v>
      </c>
      <c r="B2795" s="19" t="s">
        <v>9100</v>
      </c>
      <c r="C2795" s="19">
        <v>497</v>
      </c>
      <c r="D2795" s="22" t="str">
        <f>HYPERLINK("https://rmda.kulib.kyoto-u.ac.jp/item/rb00008736?page=497")</f>
        <v>https://rmda.kulib.kyoto-u.ac.jp/item/rb00008736?page=497</v>
      </c>
      <c r="E2795" s="19"/>
      <c r="F2795" s="19"/>
      <c r="G2795" s="19"/>
    </row>
    <row r="2796" spans="1:7" x14ac:dyDescent="0.15">
      <c r="A2796" s="19" t="s">
        <v>8993</v>
      </c>
      <c r="B2796" s="19" t="s">
        <v>9101</v>
      </c>
      <c r="C2796" s="19">
        <v>498</v>
      </c>
      <c r="D2796" s="22" t="str">
        <f>HYPERLINK("https://rmda.kulib.kyoto-u.ac.jp/item/rb00008736?page=498")</f>
        <v>https://rmda.kulib.kyoto-u.ac.jp/item/rb00008736?page=498</v>
      </c>
      <c r="E2796" s="19"/>
      <c r="F2796" s="19"/>
      <c r="G2796" s="19"/>
    </row>
    <row r="2797" spans="1:7" x14ac:dyDescent="0.15">
      <c r="A2797" s="19" t="s">
        <v>8993</v>
      </c>
      <c r="B2797" s="19" t="s">
        <v>9102</v>
      </c>
      <c r="C2797" s="19">
        <v>498</v>
      </c>
      <c r="D2797" s="22" t="str">
        <f>HYPERLINK("https://rmda.kulib.kyoto-u.ac.jp/item/rb00008736?page=498")</f>
        <v>https://rmda.kulib.kyoto-u.ac.jp/item/rb00008736?page=498</v>
      </c>
      <c r="E2797" s="19"/>
      <c r="F2797" s="19"/>
      <c r="G2797" s="19"/>
    </row>
    <row r="2798" spans="1:7" x14ac:dyDescent="0.15">
      <c r="A2798" s="19" t="s">
        <v>8993</v>
      </c>
      <c r="B2798" s="19" t="s">
        <v>9103</v>
      </c>
      <c r="C2798" s="19">
        <v>498</v>
      </c>
      <c r="D2798" s="22" t="str">
        <f>HYPERLINK("https://rmda.kulib.kyoto-u.ac.jp/item/rb00008736?page=498")</f>
        <v>https://rmda.kulib.kyoto-u.ac.jp/item/rb00008736?page=498</v>
      </c>
      <c r="E2798" s="19"/>
      <c r="F2798" s="19"/>
      <c r="G2798" s="19"/>
    </row>
    <row r="2799" spans="1:7" x14ac:dyDescent="0.15">
      <c r="A2799" s="19" t="s">
        <v>8993</v>
      </c>
      <c r="B2799" s="19" t="s">
        <v>9104</v>
      </c>
      <c r="C2799" s="19">
        <v>499</v>
      </c>
      <c r="D2799" s="22" t="str">
        <f>HYPERLINK("https://rmda.kulib.kyoto-u.ac.jp/item/rb00008736?page=499")</f>
        <v>https://rmda.kulib.kyoto-u.ac.jp/item/rb00008736?page=499</v>
      </c>
      <c r="E2799" s="19"/>
      <c r="F2799" s="19"/>
      <c r="G2799" s="19"/>
    </row>
    <row r="2800" spans="1:7" x14ac:dyDescent="0.15">
      <c r="A2800" s="19" t="s">
        <v>8993</v>
      </c>
      <c r="B2800" s="19" t="s">
        <v>9105</v>
      </c>
      <c r="C2800" s="19">
        <v>499</v>
      </c>
      <c r="D2800" s="22" t="str">
        <f>HYPERLINK("https://rmda.kulib.kyoto-u.ac.jp/item/rb00008736?page=499")</f>
        <v>https://rmda.kulib.kyoto-u.ac.jp/item/rb00008736?page=499</v>
      </c>
      <c r="E2800" s="19"/>
      <c r="F2800" s="19"/>
      <c r="G2800" s="19"/>
    </row>
    <row r="2801" spans="1:7" x14ac:dyDescent="0.15">
      <c r="A2801" s="19" t="s">
        <v>8993</v>
      </c>
      <c r="B2801" s="19" t="s">
        <v>9106</v>
      </c>
      <c r="C2801" s="19">
        <v>500</v>
      </c>
      <c r="D2801" s="22" t="str">
        <f>HYPERLINK("https://rmda.kulib.kyoto-u.ac.jp/item/rb00008736?page=500")</f>
        <v>https://rmda.kulib.kyoto-u.ac.jp/item/rb00008736?page=500</v>
      </c>
      <c r="E2801" s="19"/>
      <c r="F2801" s="19"/>
      <c r="G2801" s="19"/>
    </row>
    <row r="2802" spans="1:7" x14ac:dyDescent="0.15">
      <c r="A2802" s="19" t="s">
        <v>8993</v>
      </c>
      <c r="B2802" s="19" t="s">
        <v>9107</v>
      </c>
      <c r="C2802" s="19">
        <v>501</v>
      </c>
      <c r="D2802" s="22" t="str">
        <f>HYPERLINK("https://rmda.kulib.kyoto-u.ac.jp/item/rb00008736?page=501")</f>
        <v>https://rmda.kulib.kyoto-u.ac.jp/item/rb00008736?page=501</v>
      </c>
      <c r="E2802" s="19"/>
      <c r="F2802" s="19"/>
      <c r="G2802" s="19"/>
    </row>
    <row r="2803" spans="1:7" x14ac:dyDescent="0.15">
      <c r="A2803" s="19" t="s">
        <v>8993</v>
      </c>
      <c r="B2803" s="19" t="s">
        <v>9108</v>
      </c>
      <c r="C2803" s="19">
        <v>502</v>
      </c>
      <c r="D2803" s="22" t="str">
        <f>HYPERLINK("https://rmda.kulib.kyoto-u.ac.jp/item/rb00008736?page=502")</f>
        <v>https://rmda.kulib.kyoto-u.ac.jp/item/rb00008736?page=502</v>
      </c>
      <c r="E2803" s="19"/>
      <c r="F2803" s="19"/>
      <c r="G2803" s="19"/>
    </row>
    <row r="2804" spans="1:7" x14ac:dyDescent="0.15">
      <c r="A2804" s="19" t="s">
        <v>8993</v>
      </c>
      <c r="B2804" s="19" t="s">
        <v>9109</v>
      </c>
      <c r="C2804" s="19">
        <v>502</v>
      </c>
      <c r="D2804" s="22" t="str">
        <f>HYPERLINK("https://rmda.kulib.kyoto-u.ac.jp/item/rb00008736?page=502")</f>
        <v>https://rmda.kulib.kyoto-u.ac.jp/item/rb00008736?page=502</v>
      </c>
      <c r="E2804" s="19"/>
      <c r="F2804" s="19"/>
      <c r="G2804" s="19"/>
    </row>
    <row r="2805" spans="1:7" x14ac:dyDescent="0.15">
      <c r="A2805" s="19" t="s">
        <v>8993</v>
      </c>
      <c r="B2805" s="19" t="s">
        <v>9110</v>
      </c>
      <c r="C2805" s="19">
        <v>503</v>
      </c>
      <c r="D2805" s="22" t="str">
        <f>HYPERLINK("https://rmda.kulib.kyoto-u.ac.jp/item/rb00008736?page=503")</f>
        <v>https://rmda.kulib.kyoto-u.ac.jp/item/rb00008736?page=503</v>
      </c>
      <c r="E2805" s="19"/>
      <c r="F2805" s="19"/>
      <c r="G2805" s="19"/>
    </row>
    <row r="2806" spans="1:7" x14ac:dyDescent="0.15">
      <c r="A2806" s="19" t="s">
        <v>8993</v>
      </c>
      <c r="B2806" s="19" t="s">
        <v>9111</v>
      </c>
      <c r="C2806" s="19">
        <v>503</v>
      </c>
      <c r="D2806" s="22" t="str">
        <f>HYPERLINK("https://rmda.kulib.kyoto-u.ac.jp/item/rb00008736?page=503")</f>
        <v>https://rmda.kulib.kyoto-u.ac.jp/item/rb00008736?page=503</v>
      </c>
      <c r="E2806" s="19"/>
      <c r="F2806" s="19"/>
      <c r="G2806" s="19"/>
    </row>
    <row r="2807" spans="1:7" x14ac:dyDescent="0.15">
      <c r="A2807" s="19" t="s">
        <v>8993</v>
      </c>
      <c r="B2807" s="19" t="s">
        <v>9112</v>
      </c>
      <c r="C2807" s="19">
        <v>504</v>
      </c>
      <c r="D2807" s="22" t="str">
        <f>HYPERLINK("https://rmda.kulib.kyoto-u.ac.jp/item/rb00008736?page=504")</f>
        <v>https://rmda.kulib.kyoto-u.ac.jp/item/rb00008736?page=504</v>
      </c>
      <c r="E2807" s="19"/>
      <c r="F2807" s="19"/>
      <c r="G2807" s="19"/>
    </row>
    <row r="2808" spans="1:7" x14ac:dyDescent="0.15">
      <c r="A2808" s="19" t="s">
        <v>8993</v>
      </c>
      <c r="B2808" s="19" t="s">
        <v>9113</v>
      </c>
      <c r="C2808" s="19">
        <v>504</v>
      </c>
      <c r="D2808" s="22" t="str">
        <f>HYPERLINK("https://rmda.kulib.kyoto-u.ac.jp/item/rb00008736?page=504")</f>
        <v>https://rmda.kulib.kyoto-u.ac.jp/item/rb00008736?page=504</v>
      </c>
      <c r="E2808" s="19"/>
      <c r="F2808" s="19"/>
      <c r="G2808" s="19"/>
    </row>
    <row r="2809" spans="1:7" x14ac:dyDescent="0.15">
      <c r="A2809" s="19" t="s">
        <v>8993</v>
      </c>
      <c r="B2809" s="36" t="s">
        <v>9114</v>
      </c>
      <c r="C2809" s="19">
        <v>509</v>
      </c>
      <c r="D2809" s="22" t="str">
        <f>HYPERLINK("https://rmda.kulib.kyoto-u.ac.jp/item/rb00008736?page=509")</f>
        <v>https://rmda.kulib.kyoto-u.ac.jp/item/rb00008736?page=509</v>
      </c>
      <c r="E2809" s="19"/>
      <c r="F2809" s="19"/>
      <c r="G2809" s="19"/>
    </row>
    <row r="2810" spans="1:7" x14ac:dyDescent="0.15">
      <c r="A2810" s="19" t="s">
        <v>8993</v>
      </c>
      <c r="B2810" s="19" t="s">
        <v>9115</v>
      </c>
      <c r="C2810" s="19">
        <v>509</v>
      </c>
      <c r="D2810" s="22" t="str">
        <f>HYPERLINK("https://rmda.kulib.kyoto-u.ac.jp/item/rb00008736?page=509")</f>
        <v>https://rmda.kulib.kyoto-u.ac.jp/item/rb00008736?page=509</v>
      </c>
      <c r="E2810" s="19"/>
      <c r="F2810" s="19"/>
      <c r="G2810" s="19">
        <v>371</v>
      </c>
    </row>
    <row r="2811" spans="1:7" x14ac:dyDescent="0.15">
      <c r="A2811" s="19" t="s">
        <v>8993</v>
      </c>
      <c r="B2811" s="36" t="s">
        <v>9116</v>
      </c>
      <c r="C2811" s="19">
        <v>510</v>
      </c>
      <c r="D2811" s="22" t="str">
        <f>HYPERLINK("https://rmda.kulib.kyoto-u.ac.jp/item/rb00008736?page=510")</f>
        <v>https://rmda.kulib.kyoto-u.ac.jp/item/rb00008736?page=510</v>
      </c>
      <c r="E2811" s="19"/>
      <c r="F2811" s="19"/>
      <c r="G2811" s="19"/>
    </row>
    <row r="2812" spans="1:7" x14ac:dyDescent="0.15">
      <c r="A2812" s="19" t="s">
        <v>8993</v>
      </c>
      <c r="B2812" s="19" t="s">
        <v>9117</v>
      </c>
      <c r="C2812" s="19">
        <v>510</v>
      </c>
      <c r="D2812" s="22" t="str">
        <f>HYPERLINK("https://rmda.kulib.kyoto-u.ac.jp/item/rb00008736?page=510")</f>
        <v>https://rmda.kulib.kyoto-u.ac.jp/item/rb00008736?page=510</v>
      </c>
      <c r="E2812" s="19"/>
      <c r="F2812" s="19"/>
      <c r="G2812" s="19"/>
    </row>
    <row r="2813" spans="1:7" x14ac:dyDescent="0.15">
      <c r="A2813" s="19" t="s">
        <v>8993</v>
      </c>
      <c r="B2813" s="19" t="s">
        <v>9118</v>
      </c>
      <c r="C2813" s="19">
        <v>511</v>
      </c>
      <c r="D2813" s="22" t="str">
        <f>HYPERLINK("https://rmda.kulib.kyoto-u.ac.jp/item/rb00008736?page=511")</f>
        <v>https://rmda.kulib.kyoto-u.ac.jp/item/rb00008736?page=511</v>
      </c>
      <c r="E2813" s="19"/>
      <c r="F2813" s="19"/>
      <c r="G2813" s="19"/>
    </row>
    <row r="2814" spans="1:7" x14ac:dyDescent="0.15">
      <c r="A2814" s="19" t="s">
        <v>8993</v>
      </c>
      <c r="B2814" s="19" t="s">
        <v>9119</v>
      </c>
      <c r="C2814" s="19">
        <v>513</v>
      </c>
      <c r="D2814" s="22" t="str">
        <f>HYPERLINK("https://rmda.kulib.kyoto-u.ac.jp/item/rb00008736?page=513")</f>
        <v>https://rmda.kulib.kyoto-u.ac.jp/item/rb00008736?page=513</v>
      </c>
      <c r="E2814" s="19"/>
      <c r="F2814" s="19"/>
      <c r="G2814" s="19"/>
    </row>
    <row r="2815" spans="1:7" x14ac:dyDescent="0.15">
      <c r="A2815" s="19" t="s">
        <v>8993</v>
      </c>
      <c r="B2815" s="19" t="s">
        <v>6016</v>
      </c>
      <c r="C2815" s="19">
        <v>513</v>
      </c>
      <c r="D2815" s="22" t="str">
        <f>HYPERLINK("https://rmda.kulib.kyoto-u.ac.jp/item/rb00008736?page=513")</f>
        <v>https://rmda.kulib.kyoto-u.ac.jp/item/rb00008736?page=513</v>
      </c>
      <c r="E2815" s="19"/>
      <c r="F2815" s="19"/>
      <c r="G2815" s="19"/>
    </row>
    <row r="2816" spans="1:7" x14ac:dyDescent="0.15">
      <c r="A2816" s="19" t="s">
        <v>8993</v>
      </c>
      <c r="B2816" s="19" t="s">
        <v>9120</v>
      </c>
      <c r="C2816" s="19">
        <v>520</v>
      </c>
      <c r="D2816" s="22" t="str">
        <f>HYPERLINK("https://rmda.kulib.kyoto-u.ac.jp/item/rb00008736?page=520")</f>
        <v>https://rmda.kulib.kyoto-u.ac.jp/item/rb00008736?page=520</v>
      </c>
      <c r="E2816" s="19"/>
      <c r="F2816" s="19"/>
      <c r="G2816" s="19"/>
    </row>
    <row r="2817" spans="1:7" x14ac:dyDescent="0.15">
      <c r="A2817" s="19" t="s">
        <v>8993</v>
      </c>
      <c r="B2817" s="19" t="s">
        <v>9121</v>
      </c>
      <c r="C2817" s="19">
        <v>525</v>
      </c>
      <c r="D2817" s="22" t="str">
        <f>HYPERLINK("https://rmda.kulib.kyoto-u.ac.jp/item/rb00008736?page=525")</f>
        <v>https://rmda.kulib.kyoto-u.ac.jp/item/rb00008736?page=525</v>
      </c>
      <c r="E2817" s="19"/>
      <c r="F2817" s="19"/>
      <c r="G2817" s="19"/>
    </row>
    <row r="2818" spans="1:7" x14ac:dyDescent="0.15">
      <c r="A2818" s="19" t="s">
        <v>8993</v>
      </c>
      <c r="B2818" s="19" t="s">
        <v>9122</v>
      </c>
      <c r="C2818" s="19">
        <v>534</v>
      </c>
      <c r="D2818" s="22" t="str">
        <f>HYPERLINK("https://rmda.kulib.kyoto-u.ac.jp/item/rb00008736?page=534")</f>
        <v>https://rmda.kulib.kyoto-u.ac.jp/item/rb00008736?page=534</v>
      </c>
      <c r="E2818" s="19"/>
      <c r="F2818" s="19"/>
      <c r="G2818" s="19"/>
    </row>
    <row r="2819" spans="1:7" x14ac:dyDescent="0.15">
      <c r="A2819" s="19" t="s">
        <v>8993</v>
      </c>
      <c r="B2819" s="19" t="s">
        <v>9123</v>
      </c>
      <c r="C2819" s="19">
        <v>538</v>
      </c>
      <c r="D2819" s="22" t="str">
        <f>HYPERLINK("https://rmda.kulib.kyoto-u.ac.jp/item/rb00008736?page=538")</f>
        <v>https://rmda.kulib.kyoto-u.ac.jp/item/rb00008736?page=538</v>
      </c>
      <c r="E2819" s="19"/>
      <c r="F2819" s="19"/>
      <c r="G2819" s="19"/>
    </row>
    <row r="2820" spans="1:7" x14ac:dyDescent="0.15">
      <c r="A2820" s="19" t="s">
        <v>8993</v>
      </c>
      <c r="B2820" s="19" t="s">
        <v>9124</v>
      </c>
      <c r="C2820" s="19">
        <v>547</v>
      </c>
      <c r="D2820" s="22" t="str">
        <f>HYPERLINK("https://rmda.kulib.kyoto-u.ac.jp/item/rb00008736?page=547")</f>
        <v>https://rmda.kulib.kyoto-u.ac.jp/item/rb00008736?page=547</v>
      </c>
      <c r="E2820" s="19"/>
      <c r="F2820" s="19"/>
      <c r="G2820" s="19"/>
    </row>
    <row r="2821" spans="1:7" x14ac:dyDescent="0.15">
      <c r="A2821" s="19" t="s">
        <v>8993</v>
      </c>
      <c r="B2821" s="19" t="s">
        <v>9125</v>
      </c>
      <c r="C2821" s="19">
        <v>566</v>
      </c>
      <c r="D2821" s="22" t="str">
        <f>HYPERLINK("https://rmda.kulib.kyoto-u.ac.jp/item/rb00008736?page=566")</f>
        <v>https://rmda.kulib.kyoto-u.ac.jp/item/rb00008736?page=566</v>
      </c>
      <c r="E2821" s="19"/>
      <c r="F2821" s="19"/>
      <c r="G2821" s="19"/>
    </row>
    <row r="2822" spans="1:7" x14ac:dyDescent="0.15">
      <c r="A2822" s="19" t="s">
        <v>8993</v>
      </c>
      <c r="B2822" s="19" t="s">
        <v>9126</v>
      </c>
      <c r="C2822" s="19">
        <v>570</v>
      </c>
      <c r="D2822" s="22" t="str">
        <f>HYPERLINK("https://rmda.kulib.kyoto-u.ac.jp/item/rb00008736?page=570")</f>
        <v>https://rmda.kulib.kyoto-u.ac.jp/item/rb00008736?page=570</v>
      </c>
      <c r="E2822" s="19"/>
      <c r="F2822" s="19"/>
      <c r="G2822" s="19"/>
    </row>
    <row r="2823" spans="1:7" x14ac:dyDescent="0.15">
      <c r="A2823" s="19" t="s">
        <v>8993</v>
      </c>
      <c r="B2823" s="36" t="s">
        <v>9127</v>
      </c>
      <c r="C2823" s="19">
        <v>579</v>
      </c>
      <c r="D2823" s="22" t="str">
        <f>HYPERLINK("https://rmda.kulib.kyoto-u.ac.jp/item/rb00008736?page=579")</f>
        <v>https://rmda.kulib.kyoto-u.ac.jp/item/rb00008736?page=579</v>
      </c>
      <c r="E2823" s="19"/>
      <c r="F2823" s="19"/>
      <c r="G2823" s="19"/>
    </row>
    <row r="2824" spans="1:7" x14ac:dyDescent="0.15">
      <c r="A2824" s="19" t="s">
        <v>8993</v>
      </c>
      <c r="B2824" s="19" t="s">
        <v>9128</v>
      </c>
      <c r="C2824" s="19">
        <v>579</v>
      </c>
      <c r="D2824" s="22" t="str">
        <f>HYPERLINK("https://rmda.kulib.kyoto-u.ac.jp/item/rb00008736?page=579")</f>
        <v>https://rmda.kulib.kyoto-u.ac.jp/item/rb00008736?page=579</v>
      </c>
      <c r="E2824" s="19"/>
      <c r="F2824" s="19"/>
      <c r="G2824" s="19"/>
    </row>
    <row r="2825" spans="1:7" x14ac:dyDescent="0.15">
      <c r="A2825" s="19" t="s">
        <v>8993</v>
      </c>
      <c r="B2825" s="19" t="s">
        <v>9129</v>
      </c>
      <c r="C2825" s="19">
        <v>614</v>
      </c>
      <c r="D2825" s="22" t="str">
        <f>HYPERLINK("https://rmda.kulib.kyoto-u.ac.jp/item/rb00008736?page=614")</f>
        <v>https://rmda.kulib.kyoto-u.ac.jp/item/rb00008736?page=614</v>
      </c>
      <c r="E2825" s="19"/>
      <c r="F2825" s="19"/>
      <c r="G2825" s="19"/>
    </row>
    <row r="2826" spans="1:7" x14ac:dyDescent="0.15">
      <c r="A2826" s="19" t="s">
        <v>8993</v>
      </c>
      <c r="B2826" s="19" t="s">
        <v>9130</v>
      </c>
      <c r="C2826" s="19">
        <v>614</v>
      </c>
      <c r="D2826" s="22" t="str">
        <f>HYPERLINK("https://rmda.kulib.kyoto-u.ac.jp/item/rb00008736?page=614")</f>
        <v>https://rmda.kulib.kyoto-u.ac.jp/item/rb00008736?page=614</v>
      </c>
      <c r="E2826" s="19"/>
      <c r="F2826" s="19"/>
      <c r="G2826" s="19"/>
    </row>
    <row r="2827" spans="1:7" x14ac:dyDescent="0.15">
      <c r="A2827" s="19" t="s">
        <v>8993</v>
      </c>
      <c r="B2827" s="19" t="s">
        <v>9131</v>
      </c>
      <c r="C2827" s="19">
        <v>626</v>
      </c>
      <c r="D2827" s="22" t="str">
        <f>HYPERLINK("https://rmda.kulib.kyoto-u.ac.jp/item/rb00008736?page=626")</f>
        <v>https://rmda.kulib.kyoto-u.ac.jp/item/rb00008736?page=626</v>
      </c>
      <c r="E2827" s="19"/>
      <c r="F2827" s="19"/>
      <c r="G2827" s="19"/>
    </row>
    <row r="2828" spans="1:7" x14ac:dyDescent="0.15">
      <c r="A2828" s="19" t="s">
        <v>8993</v>
      </c>
      <c r="B2828" s="36" t="s">
        <v>9132</v>
      </c>
      <c r="C2828" s="19">
        <v>628</v>
      </c>
      <c r="D2828" s="22" t="str">
        <f>HYPERLINK("https://rmda.kulib.kyoto-u.ac.jp/item/rb00008736?page=628")</f>
        <v>https://rmda.kulib.kyoto-u.ac.jp/item/rb00008736?page=628</v>
      </c>
      <c r="E2828" s="19"/>
      <c r="F2828" s="19"/>
      <c r="G2828" s="19"/>
    </row>
    <row r="2829" spans="1:7" x14ac:dyDescent="0.15">
      <c r="A2829" s="19" t="s">
        <v>8993</v>
      </c>
      <c r="B2829" s="19" t="s">
        <v>9133</v>
      </c>
      <c r="C2829" s="19">
        <v>628</v>
      </c>
      <c r="D2829" s="22" t="str">
        <f>HYPERLINK("https://rmda.kulib.kyoto-u.ac.jp/item/rb00008736?page=628")</f>
        <v>https://rmda.kulib.kyoto-u.ac.jp/item/rb00008736?page=628</v>
      </c>
      <c r="E2829" s="19"/>
      <c r="F2829" s="19"/>
      <c r="G2829" s="19"/>
    </row>
    <row r="2830" spans="1:7" x14ac:dyDescent="0.15">
      <c r="A2830" s="19" t="s">
        <v>8993</v>
      </c>
      <c r="B2830" s="19" t="s">
        <v>9134</v>
      </c>
      <c r="C2830" s="19">
        <v>631</v>
      </c>
      <c r="D2830" s="22" t="str">
        <f>HYPERLINK("https://rmda.kulib.kyoto-u.ac.jp/item/rb00008736?page=631")</f>
        <v>https://rmda.kulib.kyoto-u.ac.jp/item/rb00008736?page=631</v>
      </c>
      <c r="E2830" s="19"/>
      <c r="F2830" s="19"/>
      <c r="G2830" s="19"/>
    </row>
    <row r="2831" spans="1:7" x14ac:dyDescent="0.15">
      <c r="A2831" s="19" t="s">
        <v>8993</v>
      </c>
      <c r="B2831" s="19" t="s">
        <v>9135</v>
      </c>
      <c r="C2831" s="19">
        <v>635</v>
      </c>
      <c r="D2831" s="22" t="str">
        <f>HYPERLINK("https://rmda.kulib.kyoto-u.ac.jp/item/rb00008736?page=635")</f>
        <v>https://rmda.kulib.kyoto-u.ac.jp/item/rb00008736?page=635</v>
      </c>
      <c r="E2831" s="19"/>
      <c r="F2831" s="19"/>
      <c r="G2831" s="19"/>
    </row>
    <row r="2832" spans="1:7" x14ac:dyDescent="0.15">
      <c r="A2832" s="19" t="s">
        <v>8993</v>
      </c>
      <c r="B2832" s="19" t="s">
        <v>9136</v>
      </c>
      <c r="C2832" s="19">
        <v>641</v>
      </c>
      <c r="D2832" s="22" t="str">
        <f>HYPERLINK("https://rmda.kulib.kyoto-u.ac.jp/item/rb00008736?page=641")</f>
        <v>https://rmda.kulib.kyoto-u.ac.jp/item/rb00008736?page=641</v>
      </c>
      <c r="E2832" s="19"/>
      <c r="F2832" s="19"/>
      <c r="G2832" s="19"/>
    </row>
    <row r="2833" spans="1:7" x14ac:dyDescent="0.15">
      <c r="A2833" s="19" t="s">
        <v>8993</v>
      </c>
      <c r="B2833" s="39" t="s">
        <v>9137</v>
      </c>
      <c r="C2833" s="19">
        <v>651</v>
      </c>
      <c r="D2833" s="22" t="str">
        <f>HYPERLINK("https://rmda.kulib.kyoto-u.ac.jp/item/rb00008736?page=651")</f>
        <v>https://rmda.kulib.kyoto-u.ac.jp/item/rb00008736?page=651</v>
      </c>
      <c r="E2833" s="19"/>
      <c r="F2833" s="19"/>
      <c r="G2833" s="19"/>
    </row>
    <row r="2834" spans="1:7" x14ac:dyDescent="0.15">
      <c r="A2834" s="19" t="s">
        <v>8993</v>
      </c>
      <c r="B2834" s="36" t="s">
        <v>7714</v>
      </c>
      <c r="C2834" s="19">
        <v>651</v>
      </c>
      <c r="D2834" s="22" t="str">
        <f>HYPERLINK("https://rmda.kulib.kyoto-u.ac.jp/item/rb00008736?page=651")</f>
        <v>https://rmda.kulib.kyoto-u.ac.jp/item/rb00008736?page=651</v>
      </c>
      <c r="E2834" s="19"/>
      <c r="F2834" s="19"/>
      <c r="G2834" s="19"/>
    </row>
    <row r="2835" spans="1:7" x14ac:dyDescent="0.15">
      <c r="A2835" s="19" t="s">
        <v>8993</v>
      </c>
      <c r="B2835" s="19" t="s">
        <v>9138</v>
      </c>
      <c r="C2835" s="19">
        <v>651</v>
      </c>
      <c r="D2835" s="22" t="str">
        <f>HYPERLINK("https://rmda.kulib.kyoto-u.ac.jp/item/rb00008736?page=651")</f>
        <v>https://rmda.kulib.kyoto-u.ac.jp/item/rb00008736?page=651</v>
      </c>
      <c r="E2835" s="19"/>
      <c r="F2835" s="19"/>
      <c r="G2835" s="19"/>
    </row>
    <row r="2836" spans="1:7" x14ac:dyDescent="0.15">
      <c r="A2836" s="19" t="s">
        <v>8993</v>
      </c>
      <c r="B2836" s="19" t="s">
        <v>9139</v>
      </c>
      <c r="C2836" s="19">
        <v>655</v>
      </c>
      <c r="D2836" s="22" t="str">
        <f>HYPERLINK("https://rmda.kulib.kyoto-u.ac.jp/item/rb00008736?page=655")</f>
        <v>https://rmda.kulib.kyoto-u.ac.jp/item/rb00008736?page=655</v>
      </c>
      <c r="E2836" s="19"/>
      <c r="F2836" s="19"/>
      <c r="G2836" s="19"/>
    </row>
    <row r="2837" spans="1:7" x14ac:dyDescent="0.15">
      <c r="A2837" s="19" t="s">
        <v>8993</v>
      </c>
      <c r="B2837" s="19" t="s">
        <v>9140</v>
      </c>
      <c r="C2837" s="19">
        <v>655</v>
      </c>
      <c r="D2837" s="22" t="str">
        <f>HYPERLINK("https://rmda.kulib.kyoto-u.ac.jp/item/rb00008736?page=655")</f>
        <v>https://rmda.kulib.kyoto-u.ac.jp/item/rb00008736?page=655</v>
      </c>
      <c r="E2837" s="19"/>
      <c r="F2837" s="19"/>
      <c r="G2837" s="19"/>
    </row>
    <row r="2838" spans="1:7" x14ac:dyDescent="0.15">
      <c r="A2838" s="19" t="s">
        <v>8993</v>
      </c>
      <c r="B2838" s="19" t="s">
        <v>9141</v>
      </c>
      <c r="C2838" s="19">
        <v>657</v>
      </c>
      <c r="D2838" s="22" t="str">
        <f>HYPERLINK("https://rmda.kulib.kyoto-u.ac.jp/item/rb00008736?page=657")</f>
        <v>https://rmda.kulib.kyoto-u.ac.jp/item/rb00008736?page=657</v>
      </c>
      <c r="E2838" s="19"/>
      <c r="F2838" s="19"/>
      <c r="G2838" s="19"/>
    </row>
    <row r="2839" spans="1:7" x14ac:dyDescent="0.15">
      <c r="A2839" s="19" t="s">
        <v>8993</v>
      </c>
      <c r="B2839" s="19" t="s">
        <v>9142</v>
      </c>
      <c r="C2839" s="19">
        <v>658</v>
      </c>
      <c r="D2839" s="22" t="str">
        <f>HYPERLINK("https://rmda.kulib.kyoto-u.ac.jp/item/rb00008736?page=658")</f>
        <v>https://rmda.kulib.kyoto-u.ac.jp/item/rb00008736?page=658</v>
      </c>
      <c r="E2839" s="19"/>
      <c r="F2839" s="19"/>
      <c r="G2839" s="19"/>
    </row>
    <row r="2840" spans="1:7" x14ac:dyDescent="0.15">
      <c r="A2840" s="19" t="s">
        <v>8993</v>
      </c>
      <c r="B2840" s="19" t="s">
        <v>9143</v>
      </c>
      <c r="C2840" s="19">
        <v>659</v>
      </c>
      <c r="D2840" s="22" t="str">
        <f>HYPERLINK("https://rmda.kulib.kyoto-u.ac.jp/item/rb00008736?page=659")</f>
        <v>https://rmda.kulib.kyoto-u.ac.jp/item/rb00008736?page=659</v>
      </c>
      <c r="E2840" s="19"/>
      <c r="F2840" s="19"/>
      <c r="G2840" s="19"/>
    </row>
    <row r="2841" spans="1:7" x14ac:dyDescent="0.15">
      <c r="A2841" s="19" t="s">
        <v>8993</v>
      </c>
      <c r="B2841" s="36" t="s">
        <v>9144</v>
      </c>
      <c r="C2841" s="19">
        <v>660</v>
      </c>
      <c r="D2841" s="22" t="str">
        <f>HYPERLINK("https://rmda.kulib.kyoto-u.ac.jp/item/rb00008736?page=660")</f>
        <v>https://rmda.kulib.kyoto-u.ac.jp/item/rb00008736?page=660</v>
      </c>
      <c r="E2841" s="19"/>
      <c r="F2841" s="19"/>
      <c r="G2841" s="19"/>
    </row>
    <row r="2842" spans="1:7" x14ac:dyDescent="0.15">
      <c r="A2842" s="19" t="s">
        <v>8993</v>
      </c>
      <c r="B2842" s="19" t="s">
        <v>9145</v>
      </c>
      <c r="C2842" s="19">
        <v>660</v>
      </c>
      <c r="D2842" s="22" t="str">
        <f>HYPERLINK("https://rmda.kulib.kyoto-u.ac.jp/item/rb00008736?page=660")</f>
        <v>https://rmda.kulib.kyoto-u.ac.jp/item/rb00008736?page=660</v>
      </c>
      <c r="E2842" s="19"/>
      <c r="F2842" s="19"/>
      <c r="G2842" s="19"/>
    </row>
    <row r="2843" spans="1:7" x14ac:dyDescent="0.15">
      <c r="A2843" s="19" t="s">
        <v>8993</v>
      </c>
      <c r="B2843" s="19" t="s">
        <v>9146</v>
      </c>
      <c r="C2843" s="19">
        <v>661</v>
      </c>
      <c r="D2843" s="22" t="str">
        <f>HYPERLINK("https://rmda.kulib.kyoto-u.ac.jp/item/rb00008736?page=661")</f>
        <v>https://rmda.kulib.kyoto-u.ac.jp/item/rb00008736?page=661</v>
      </c>
      <c r="E2843" s="19"/>
      <c r="F2843" s="19"/>
      <c r="G2843" s="19"/>
    </row>
    <row r="2844" spans="1:7" x14ac:dyDescent="0.15">
      <c r="A2844" s="19" t="s">
        <v>8993</v>
      </c>
      <c r="B2844" s="19" t="s">
        <v>9147</v>
      </c>
      <c r="C2844" s="19">
        <v>663</v>
      </c>
      <c r="D2844" s="22" t="str">
        <f>HYPERLINK("https://rmda.kulib.kyoto-u.ac.jp/item/rb00008736?page=663")</f>
        <v>https://rmda.kulib.kyoto-u.ac.jp/item/rb00008736?page=663</v>
      </c>
      <c r="E2844" s="19"/>
      <c r="F2844" s="19"/>
      <c r="G2844" s="19"/>
    </row>
    <row r="2845" spans="1:7" x14ac:dyDescent="0.15">
      <c r="A2845" s="19" t="s">
        <v>8993</v>
      </c>
      <c r="B2845" s="19" t="s">
        <v>9148</v>
      </c>
      <c r="C2845" s="19">
        <v>665</v>
      </c>
      <c r="D2845" s="22" t="str">
        <f>HYPERLINK("https://rmda.kulib.kyoto-u.ac.jp/item/rb00008736?page=665")</f>
        <v>https://rmda.kulib.kyoto-u.ac.jp/item/rb00008736?page=665</v>
      </c>
      <c r="E2845" s="19"/>
      <c r="F2845" s="19"/>
      <c r="G2845" s="19"/>
    </row>
    <row r="2846" spans="1:7" x14ac:dyDescent="0.15">
      <c r="A2846" s="19" t="s">
        <v>8993</v>
      </c>
      <c r="B2846" s="19" t="s">
        <v>9149</v>
      </c>
      <c r="C2846" s="19">
        <v>667</v>
      </c>
      <c r="D2846" s="22" t="str">
        <f>HYPERLINK("https://rmda.kulib.kyoto-u.ac.jp/item/rb00008736?page=667")</f>
        <v>https://rmda.kulib.kyoto-u.ac.jp/item/rb00008736?page=667</v>
      </c>
      <c r="E2846" s="19"/>
      <c r="F2846" s="19"/>
      <c r="G2846" s="19"/>
    </row>
    <row r="2847" spans="1:7" x14ac:dyDescent="0.15">
      <c r="A2847" s="19" t="s">
        <v>8993</v>
      </c>
      <c r="B2847" s="19" t="s">
        <v>9150</v>
      </c>
      <c r="C2847" s="19">
        <v>668</v>
      </c>
      <c r="D2847" s="22" t="str">
        <f>HYPERLINK("https://rmda.kulib.kyoto-u.ac.jp/item/rb00008736?page=668")</f>
        <v>https://rmda.kulib.kyoto-u.ac.jp/item/rb00008736?page=668</v>
      </c>
      <c r="E2847" s="19"/>
      <c r="F2847" s="19"/>
      <c r="G2847" s="19"/>
    </row>
    <row r="2848" spans="1:7" x14ac:dyDescent="0.15">
      <c r="A2848" s="19" t="s">
        <v>8993</v>
      </c>
      <c r="B2848" s="19" t="s">
        <v>9151</v>
      </c>
      <c r="C2848" s="19">
        <v>669</v>
      </c>
      <c r="D2848" s="22" t="str">
        <f>HYPERLINK("https://rmda.kulib.kyoto-u.ac.jp/item/rb00008736?page=669")</f>
        <v>https://rmda.kulib.kyoto-u.ac.jp/item/rb00008736?page=669</v>
      </c>
      <c r="E2848" s="19"/>
      <c r="F2848" s="19"/>
      <c r="G2848" s="19"/>
    </row>
    <row r="2849" spans="1:7" x14ac:dyDescent="0.15">
      <c r="A2849" s="19" t="s">
        <v>8993</v>
      </c>
      <c r="B2849" s="19" t="s">
        <v>9152</v>
      </c>
      <c r="C2849" s="19">
        <v>672</v>
      </c>
      <c r="D2849" s="22" t="str">
        <f>HYPERLINK("https://rmda.kulib.kyoto-u.ac.jp/item/rb00008736?page=672")</f>
        <v>https://rmda.kulib.kyoto-u.ac.jp/item/rb00008736?page=672</v>
      </c>
      <c r="E2849" s="19"/>
      <c r="F2849" s="19"/>
      <c r="G2849" s="19"/>
    </row>
    <row r="2850" spans="1:7" x14ac:dyDescent="0.15">
      <c r="A2850" s="19" t="s">
        <v>8993</v>
      </c>
      <c r="B2850" s="36" t="s">
        <v>9153</v>
      </c>
      <c r="C2850" s="19">
        <v>674</v>
      </c>
      <c r="D2850" s="22" t="str">
        <f>HYPERLINK("https://rmda.kulib.kyoto-u.ac.jp/item/rb00008736?page=674")</f>
        <v>https://rmda.kulib.kyoto-u.ac.jp/item/rb00008736?page=674</v>
      </c>
      <c r="E2850" s="19"/>
      <c r="F2850" s="19"/>
      <c r="G2850" s="19"/>
    </row>
    <row r="2851" spans="1:7" x14ac:dyDescent="0.15">
      <c r="A2851" s="19" t="s">
        <v>8993</v>
      </c>
      <c r="B2851" s="36" t="s">
        <v>9154</v>
      </c>
      <c r="C2851" s="19">
        <v>674</v>
      </c>
      <c r="D2851" s="22" t="str">
        <f>HYPERLINK("https://rmda.kulib.kyoto-u.ac.jp/item/rb00008736?page=674")</f>
        <v>https://rmda.kulib.kyoto-u.ac.jp/item/rb00008736?page=674</v>
      </c>
      <c r="E2851" s="19"/>
      <c r="F2851" s="19"/>
      <c r="G2851" s="19"/>
    </row>
    <row r="2852" spans="1:7" x14ac:dyDescent="0.15">
      <c r="A2852" s="19" t="s">
        <v>8993</v>
      </c>
      <c r="B2852" s="19" t="s">
        <v>9155</v>
      </c>
      <c r="C2852" s="19">
        <v>674</v>
      </c>
      <c r="D2852" s="22" t="str">
        <f>HYPERLINK("https://rmda.kulib.kyoto-u.ac.jp/item/rb00008736?page=674")</f>
        <v>https://rmda.kulib.kyoto-u.ac.jp/item/rb00008736?page=674</v>
      </c>
      <c r="E2852" s="19"/>
      <c r="F2852" s="19"/>
      <c r="G2852" s="19"/>
    </row>
    <row r="2853" spans="1:7" x14ac:dyDescent="0.15">
      <c r="A2853" s="19" t="s">
        <v>8993</v>
      </c>
      <c r="B2853" s="19" t="s">
        <v>9156</v>
      </c>
      <c r="C2853" s="19">
        <v>675</v>
      </c>
      <c r="D2853" s="22" t="str">
        <f>HYPERLINK("https://rmda.kulib.kyoto-u.ac.jp/item/rb00008736?page=675")</f>
        <v>https://rmda.kulib.kyoto-u.ac.jp/item/rb00008736?page=675</v>
      </c>
      <c r="E2853" s="19"/>
      <c r="F2853" s="19"/>
      <c r="G2853" s="19"/>
    </row>
    <row r="2854" spans="1:7" x14ac:dyDescent="0.15">
      <c r="A2854" s="19" t="s">
        <v>8993</v>
      </c>
      <c r="B2854" s="19" t="s">
        <v>9157</v>
      </c>
      <c r="C2854" s="19">
        <v>677</v>
      </c>
      <c r="D2854" s="22" t="str">
        <f>HYPERLINK("https://rmda.kulib.kyoto-u.ac.jp/item/rb00008736?page=677")</f>
        <v>https://rmda.kulib.kyoto-u.ac.jp/item/rb00008736?page=677</v>
      </c>
      <c r="E2854" s="19"/>
      <c r="F2854" s="19"/>
      <c r="G2854" s="19"/>
    </row>
    <row r="2855" spans="1:7" x14ac:dyDescent="0.15">
      <c r="A2855" s="19" t="s">
        <v>8993</v>
      </c>
      <c r="B2855" s="19" t="s">
        <v>9158</v>
      </c>
      <c r="C2855" s="19">
        <v>678</v>
      </c>
      <c r="D2855" s="22" t="str">
        <f>HYPERLINK("https://rmda.kulib.kyoto-u.ac.jp/item/rb00008736?page=678")</f>
        <v>https://rmda.kulib.kyoto-u.ac.jp/item/rb00008736?page=678</v>
      </c>
      <c r="E2855" s="19"/>
      <c r="F2855" s="19"/>
      <c r="G2855" s="19"/>
    </row>
    <row r="2856" spans="1:7" x14ac:dyDescent="0.15">
      <c r="A2856" s="19" t="s">
        <v>8993</v>
      </c>
      <c r="B2856" s="19" t="s">
        <v>9159</v>
      </c>
      <c r="C2856" s="19">
        <v>678</v>
      </c>
      <c r="D2856" s="22" t="str">
        <f>HYPERLINK("https://rmda.kulib.kyoto-u.ac.jp/item/rb00008736?page=678")</f>
        <v>https://rmda.kulib.kyoto-u.ac.jp/item/rb00008736?page=678</v>
      </c>
      <c r="E2856" s="19"/>
      <c r="F2856" s="19"/>
      <c r="G2856" s="19"/>
    </row>
    <row r="2857" spans="1:7" x14ac:dyDescent="0.15">
      <c r="A2857" s="19" t="s">
        <v>8993</v>
      </c>
      <c r="B2857" s="19" t="s">
        <v>9160</v>
      </c>
      <c r="C2857" s="19">
        <v>683</v>
      </c>
      <c r="D2857" s="22" t="str">
        <f>HYPERLINK("https://rmda.kulib.kyoto-u.ac.jp/item/rb00008736?page=683")</f>
        <v>https://rmda.kulib.kyoto-u.ac.jp/item/rb00008736?page=683</v>
      </c>
      <c r="E2857" s="19"/>
      <c r="F2857" s="19"/>
      <c r="G2857" s="19"/>
    </row>
    <row r="2858" spans="1:7" x14ac:dyDescent="0.15">
      <c r="A2858" s="19" t="s">
        <v>8993</v>
      </c>
      <c r="B2858" s="19" t="s">
        <v>9161</v>
      </c>
      <c r="C2858" s="19">
        <v>685</v>
      </c>
      <c r="D2858" s="22" t="str">
        <f>HYPERLINK("https://rmda.kulib.kyoto-u.ac.jp/item/rb00008736?page=685")</f>
        <v>https://rmda.kulib.kyoto-u.ac.jp/item/rb00008736?page=685</v>
      </c>
      <c r="E2858" s="19"/>
      <c r="F2858" s="19"/>
      <c r="G2858" s="19"/>
    </row>
    <row r="2859" spans="1:7" x14ac:dyDescent="0.15">
      <c r="A2859" s="19" t="s">
        <v>8993</v>
      </c>
      <c r="B2859" s="19" t="s">
        <v>9162</v>
      </c>
      <c r="C2859" s="19">
        <v>686</v>
      </c>
      <c r="D2859" s="22" t="str">
        <f>HYPERLINK("https://rmda.kulib.kyoto-u.ac.jp/item/rb00008736?page=686")</f>
        <v>https://rmda.kulib.kyoto-u.ac.jp/item/rb00008736?page=686</v>
      </c>
      <c r="E2859" s="19"/>
      <c r="F2859" s="19"/>
      <c r="G2859" s="19"/>
    </row>
    <row r="2860" spans="1:7" x14ac:dyDescent="0.15">
      <c r="A2860" s="19" t="s">
        <v>8993</v>
      </c>
      <c r="B2860" s="19" t="s">
        <v>9163</v>
      </c>
      <c r="C2860" s="19">
        <v>688</v>
      </c>
      <c r="D2860" s="22" t="str">
        <f>HYPERLINK("https://rmda.kulib.kyoto-u.ac.jp/item/rb00008736?page=688")</f>
        <v>https://rmda.kulib.kyoto-u.ac.jp/item/rb00008736?page=688</v>
      </c>
      <c r="E2860" s="19"/>
      <c r="F2860" s="19"/>
      <c r="G2860" s="19"/>
    </row>
    <row r="2861" spans="1:7" x14ac:dyDescent="0.15">
      <c r="A2861" s="19" t="s">
        <v>8993</v>
      </c>
      <c r="B2861" s="19" t="s">
        <v>9164</v>
      </c>
      <c r="C2861" s="19">
        <v>689</v>
      </c>
      <c r="D2861" s="22" t="str">
        <f>HYPERLINK("https://rmda.kulib.kyoto-u.ac.jp/item/rb00008736?page=689")</f>
        <v>https://rmda.kulib.kyoto-u.ac.jp/item/rb00008736?page=689</v>
      </c>
      <c r="E2861" s="19"/>
      <c r="F2861" s="19"/>
      <c r="G2861" s="19"/>
    </row>
    <row r="2862" spans="1:7" x14ac:dyDescent="0.15">
      <c r="A2862" s="19" t="s">
        <v>8993</v>
      </c>
      <c r="B2862" s="19" t="s">
        <v>9165</v>
      </c>
      <c r="C2862" s="19">
        <v>692</v>
      </c>
      <c r="D2862" s="22" t="str">
        <f>HYPERLINK("https://rmda.kulib.kyoto-u.ac.jp/item/rb00008736?page=692")</f>
        <v>https://rmda.kulib.kyoto-u.ac.jp/item/rb00008736?page=692</v>
      </c>
      <c r="E2862" s="19"/>
      <c r="F2862" s="19"/>
      <c r="G2862" s="19"/>
    </row>
    <row r="2863" spans="1:7" x14ac:dyDescent="0.15">
      <c r="A2863" s="19" t="s">
        <v>8993</v>
      </c>
      <c r="B2863" s="19" t="s">
        <v>9166</v>
      </c>
      <c r="C2863" s="19">
        <v>694</v>
      </c>
      <c r="D2863" s="22" t="str">
        <f>HYPERLINK("https://rmda.kulib.kyoto-u.ac.jp/item/rb00008736?page=694")</f>
        <v>https://rmda.kulib.kyoto-u.ac.jp/item/rb00008736?page=694</v>
      </c>
      <c r="E2863" s="19"/>
      <c r="F2863" s="19"/>
      <c r="G2863" s="19"/>
    </row>
    <row r="2864" spans="1:7" x14ac:dyDescent="0.15">
      <c r="A2864" s="19" t="s">
        <v>8993</v>
      </c>
      <c r="B2864" s="36" t="s">
        <v>9167</v>
      </c>
      <c r="C2864" s="19">
        <v>695</v>
      </c>
      <c r="D2864" s="22" t="str">
        <f>HYPERLINK("https://rmda.kulib.kyoto-u.ac.jp/item/rb00008736?page=695")</f>
        <v>https://rmda.kulib.kyoto-u.ac.jp/item/rb00008736?page=695</v>
      </c>
      <c r="E2864" s="19"/>
      <c r="F2864" s="19"/>
      <c r="G2864" s="19"/>
    </row>
    <row r="2865" spans="1:7" x14ac:dyDescent="0.15">
      <c r="A2865" s="19" t="s">
        <v>8993</v>
      </c>
      <c r="B2865" s="19" t="s">
        <v>9168</v>
      </c>
      <c r="C2865" s="19">
        <v>695</v>
      </c>
      <c r="D2865" s="22" t="str">
        <f>HYPERLINK("https://rmda.kulib.kyoto-u.ac.jp/item/rb00008736?page=695")</f>
        <v>https://rmda.kulib.kyoto-u.ac.jp/item/rb00008736?page=695</v>
      </c>
      <c r="E2865" s="19"/>
      <c r="F2865" s="19"/>
      <c r="G2865" s="19"/>
    </row>
    <row r="2866" spans="1:7" x14ac:dyDescent="0.15">
      <c r="A2866" s="19" t="s">
        <v>8993</v>
      </c>
      <c r="B2866" s="19" t="s">
        <v>9169</v>
      </c>
      <c r="C2866" s="19">
        <v>697</v>
      </c>
      <c r="D2866" s="22" t="str">
        <f>HYPERLINK("https://rmda.kulib.kyoto-u.ac.jp/item/rb00008736?page=697")</f>
        <v>https://rmda.kulib.kyoto-u.ac.jp/item/rb00008736?page=697</v>
      </c>
      <c r="E2866" s="19"/>
      <c r="F2866" s="19"/>
      <c r="G2866" s="19"/>
    </row>
    <row r="2867" spans="1:7" x14ac:dyDescent="0.15">
      <c r="A2867" s="19" t="s">
        <v>8993</v>
      </c>
      <c r="B2867" s="19" t="s">
        <v>9170</v>
      </c>
      <c r="C2867" s="19">
        <v>699</v>
      </c>
      <c r="D2867" s="22" t="str">
        <f>HYPERLINK("https://rmda.kulib.kyoto-u.ac.jp/item/rb00008736?page=699")</f>
        <v>https://rmda.kulib.kyoto-u.ac.jp/item/rb00008736?page=699</v>
      </c>
      <c r="E2867" s="19"/>
      <c r="F2867" s="19"/>
      <c r="G2867" s="19"/>
    </row>
    <row r="2868" spans="1:7" x14ac:dyDescent="0.15">
      <c r="A2868" s="19" t="s">
        <v>8993</v>
      </c>
      <c r="B2868" s="19" t="s">
        <v>9171</v>
      </c>
      <c r="C2868" s="19">
        <v>701</v>
      </c>
      <c r="D2868" s="22" t="str">
        <f>HYPERLINK("https://rmda.kulib.kyoto-u.ac.jp/item/rb00008736?page=701")</f>
        <v>https://rmda.kulib.kyoto-u.ac.jp/item/rb00008736?page=701</v>
      </c>
      <c r="E2868" s="19"/>
      <c r="F2868" s="19"/>
      <c r="G2868" s="19"/>
    </row>
    <row r="2869" spans="1:7" x14ac:dyDescent="0.15">
      <c r="A2869" s="19" t="s">
        <v>8993</v>
      </c>
      <c r="B2869" s="36" t="s">
        <v>9172</v>
      </c>
      <c r="C2869" s="19">
        <v>702</v>
      </c>
      <c r="D2869" s="22" t="str">
        <f>HYPERLINK("https://rmda.kulib.kyoto-u.ac.jp/item/rb00008736?page=702")</f>
        <v>https://rmda.kulib.kyoto-u.ac.jp/item/rb00008736?page=702</v>
      </c>
      <c r="E2869" s="19"/>
      <c r="F2869" s="19"/>
      <c r="G2869" s="19"/>
    </row>
    <row r="2870" spans="1:7" x14ac:dyDescent="0.15">
      <c r="A2870" s="19" t="s">
        <v>8993</v>
      </c>
      <c r="B2870" s="19" t="s">
        <v>9173</v>
      </c>
      <c r="C2870" s="19">
        <v>702</v>
      </c>
      <c r="D2870" s="22" t="str">
        <f>HYPERLINK("https://rmda.kulib.kyoto-u.ac.jp/item/rb00008736?page=702")</f>
        <v>https://rmda.kulib.kyoto-u.ac.jp/item/rb00008736?page=702</v>
      </c>
      <c r="E2870" s="19"/>
      <c r="F2870" s="19"/>
      <c r="G2870" s="19"/>
    </row>
    <row r="2871" spans="1:7" x14ac:dyDescent="0.15">
      <c r="A2871" s="19" t="s">
        <v>8993</v>
      </c>
      <c r="B2871" s="19" t="s">
        <v>9174</v>
      </c>
      <c r="C2871" s="19">
        <v>705</v>
      </c>
      <c r="D2871" s="22" t="str">
        <f>HYPERLINK("https://rmda.kulib.kyoto-u.ac.jp/item/rb00008736?page=705")</f>
        <v>https://rmda.kulib.kyoto-u.ac.jp/item/rb00008736?page=705</v>
      </c>
      <c r="E2871" s="19"/>
      <c r="F2871" s="19"/>
      <c r="G2871" s="19"/>
    </row>
    <row r="2872" spans="1:7" x14ac:dyDescent="0.15">
      <c r="A2872" s="19" t="s">
        <v>8993</v>
      </c>
      <c r="B2872" s="36" t="s">
        <v>9175</v>
      </c>
      <c r="C2872" s="19">
        <v>708</v>
      </c>
      <c r="D2872" s="22" t="str">
        <f>HYPERLINK("https://rmda.kulib.kyoto-u.ac.jp/item/rb00008736?page=708")</f>
        <v>https://rmda.kulib.kyoto-u.ac.jp/item/rb00008736?page=708</v>
      </c>
      <c r="E2872" s="19"/>
      <c r="F2872" s="19"/>
      <c r="G2872" s="19"/>
    </row>
    <row r="2873" spans="1:7" x14ac:dyDescent="0.15">
      <c r="A2873" s="19" t="s">
        <v>8993</v>
      </c>
      <c r="B2873" s="19" t="s">
        <v>9176</v>
      </c>
      <c r="C2873" s="19">
        <v>708</v>
      </c>
      <c r="D2873" s="22" t="str">
        <f>HYPERLINK("https://rmda.kulib.kyoto-u.ac.jp/item/rb00008736?page=708")</f>
        <v>https://rmda.kulib.kyoto-u.ac.jp/item/rb00008736?page=708</v>
      </c>
      <c r="E2873" s="19"/>
      <c r="F2873" s="19"/>
      <c r="G2873" s="19"/>
    </row>
    <row r="2874" spans="1:7" x14ac:dyDescent="0.15">
      <c r="A2874" s="19" t="s">
        <v>8993</v>
      </c>
      <c r="B2874" s="19" t="s">
        <v>9177</v>
      </c>
      <c r="C2874" s="19">
        <v>709</v>
      </c>
      <c r="D2874" s="22" t="str">
        <f>HYPERLINK("https://rmda.kulib.kyoto-u.ac.jp/item/rb00008736?page=709")</f>
        <v>https://rmda.kulib.kyoto-u.ac.jp/item/rb00008736?page=709</v>
      </c>
      <c r="E2874" s="19"/>
      <c r="F2874" s="19"/>
      <c r="G2874" s="19"/>
    </row>
    <row r="2875" spans="1:7" x14ac:dyDescent="0.15">
      <c r="A2875" s="19" t="s">
        <v>8993</v>
      </c>
      <c r="B2875" s="19" t="s">
        <v>9178</v>
      </c>
      <c r="C2875" s="19">
        <v>711</v>
      </c>
      <c r="D2875" s="22" t="str">
        <f>HYPERLINK("https://rmda.kulib.kyoto-u.ac.jp/item/rb00008736?page=711")</f>
        <v>https://rmda.kulib.kyoto-u.ac.jp/item/rb00008736?page=711</v>
      </c>
      <c r="E2875" s="19"/>
      <c r="F2875" s="19"/>
      <c r="G2875" s="19"/>
    </row>
    <row r="2876" spans="1:7" x14ac:dyDescent="0.15">
      <c r="A2876" s="19" t="s">
        <v>8993</v>
      </c>
      <c r="B2876" s="19" t="s">
        <v>9179</v>
      </c>
      <c r="C2876" s="19">
        <v>712</v>
      </c>
      <c r="D2876" s="22" t="str">
        <f>HYPERLINK("https://rmda.kulib.kyoto-u.ac.jp/item/rb00008736?page=712")</f>
        <v>https://rmda.kulib.kyoto-u.ac.jp/item/rb00008736?page=712</v>
      </c>
      <c r="E2876" s="19"/>
      <c r="F2876" s="19"/>
      <c r="G2876" s="19"/>
    </row>
    <row r="2877" spans="1:7" x14ac:dyDescent="0.15">
      <c r="A2877" s="19" t="s">
        <v>8993</v>
      </c>
      <c r="B2877" s="19" t="s">
        <v>9180</v>
      </c>
      <c r="C2877" s="19">
        <v>714</v>
      </c>
      <c r="D2877" s="22" t="str">
        <f>HYPERLINK("https://rmda.kulib.kyoto-u.ac.jp/item/rb00008736?page=714")</f>
        <v>https://rmda.kulib.kyoto-u.ac.jp/item/rb00008736?page=714</v>
      </c>
      <c r="E2877" s="19"/>
      <c r="F2877" s="19"/>
      <c r="G2877" s="19"/>
    </row>
    <row r="2878" spans="1:7" x14ac:dyDescent="0.15">
      <c r="A2878" s="19" t="s">
        <v>8993</v>
      </c>
      <c r="B2878" s="19" t="s">
        <v>9181</v>
      </c>
      <c r="C2878" s="19">
        <v>716</v>
      </c>
      <c r="D2878" s="22" t="str">
        <f>HYPERLINK("https://rmda.kulib.kyoto-u.ac.jp/item/rb00008736?page=716")</f>
        <v>https://rmda.kulib.kyoto-u.ac.jp/item/rb00008736?page=716</v>
      </c>
      <c r="E2878" s="19"/>
      <c r="F2878" s="19"/>
      <c r="G2878" s="19"/>
    </row>
    <row r="2879" spans="1:7" x14ac:dyDescent="0.15">
      <c r="A2879" s="19" t="s">
        <v>8993</v>
      </c>
      <c r="B2879" s="19" t="s">
        <v>9182</v>
      </c>
      <c r="C2879" s="19">
        <v>718</v>
      </c>
      <c r="D2879" s="22" t="str">
        <f>HYPERLINK("https://rmda.kulib.kyoto-u.ac.jp/item/rb00008736?page=718")</f>
        <v>https://rmda.kulib.kyoto-u.ac.jp/item/rb00008736?page=718</v>
      </c>
      <c r="E2879" s="19"/>
      <c r="F2879" s="19"/>
      <c r="G2879" s="19"/>
    </row>
    <row r="2880" spans="1:7" x14ac:dyDescent="0.15">
      <c r="A2880" s="19" t="s">
        <v>8993</v>
      </c>
      <c r="B2880" s="36" t="s">
        <v>9183</v>
      </c>
      <c r="C2880" s="19">
        <v>722</v>
      </c>
      <c r="D2880" s="22" t="str">
        <f>HYPERLINK("https://rmda.kulib.kyoto-u.ac.jp/item/rb00008736?page=722")</f>
        <v>https://rmda.kulib.kyoto-u.ac.jp/item/rb00008736?page=722</v>
      </c>
      <c r="E2880" s="19"/>
      <c r="F2880" s="19"/>
      <c r="G2880" s="19"/>
    </row>
    <row r="2881" spans="1:7" x14ac:dyDescent="0.15">
      <c r="A2881" s="19" t="s">
        <v>8993</v>
      </c>
      <c r="B2881" s="19" t="s">
        <v>9184</v>
      </c>
      <c r="C2881" s="19">
        <v>722</v>
      </c>
      <c r="D2881" s="22" t="str">
        <f>HYPERLINK("https://rmda.kulib.kyoto-u.ac.jp/item/rb00008736?page=722")</f>
        <v>https://rmda.kulib.kyoto-u.ac.jp/item/rb00008736?page=722</v>
      </c>
      <c r="E2881" s="19"/>
      <c r="F2881" s="19"/>
      <c r="G2881" s="19"/>
    </row>
    <row r="2882" spans="1:7" x14ac:dyDescent="0.15">
      <c r="A2882" s="19" t="s">
        <v>8993</v>
      </c>
      <c r="B2882" s="19" t="s">
        <v>9185</v>
      </c>
      <c r="C2882" s="19">
        <v>723</v>
      </c>
      <c r="D2882" s="22" t="str">
        <f>HYPERLINK("https://rmda.kulib.kyoto-u.ac.jp/item/rb00008736?page=723")</f>
        <v>https://rmda.kulib.kyoto-u.ac.jp/item/rb00008736?page=723</v>
      </c>
      <c r="E2882" s="19"/>
      <c r="F2882" s="19"/>
      <c r="G2882" s="19"/>
    </row>
    <row r="2883" spans="1:7" x14ac:dyDescent="0.15">
      <c r="A2883" s="19" t="s">
        <v>8993</v>
      </c>
      <c r="B2883" s="19" t="s">
        <v>9186</v>
      </c>
      <c r="C2883" s="19">
        <v>726</v>
      </c>
      <c r="D2883" s="22" t="str">
        <f>HYPERLINK("https://rmda.kulib.kyoto-u.ac.jp/item/rb00008736?page=726")</f>
        <v>https://rmda.kulib.kyoto-u.ac.jp/item/rb00008736?page=726</v>
      </c>
      <c r="E2883" s="19"/>
      <c r="F2883" s="19"/>
      <c r="G2883" s="19"/>
    </row>
    <row r="2884" spans="1:7" x14ac:dyDescent="0.15">
      <c r="A2884" s="19" t="s">
        <v>8993</v>
      </c>
      <c r="B2884" s="36" t="s">
        <v>9187</v>
      </c>
      <c r="C2884" s="19">
        <v>728</v>
      </c>
      <c r="D2884" s="22" t="str">
        <f>HYPERLINK("https://rmda.kulib.kyoto-u.ac.jp/item/rb00008736?page=728")</f>
        <v>https://rmda.kulib.kyoto-u.ac.jp/item/rb00008736?page=728</v>
      </c>
      <c r="E2884" s="19"/>
      <c r="F2884" s="19"/>
      <c r="G2884" s="19"/>
    </row>
    <row r="2885" spans="1:7" x14ac:dyDescent="0.15">
      <c r="A2885" s="19" t="s">
        <v>8993</v>
      </c>
      <c r="B2885" s="19" t="s">
        <v>9188</v>
      </c>
      <c r="C2885" s="19">
        <v>728</v>
      </c>
      <c r="D2885" s="22" t="str">
        <f>HYPERLINK("https://rmda.kulib.kyoto-u.ac.jp/item/rb00008736?page=728")</f>
        <v>https://rmda.kulib.kyoto-u.ac.jp/item/rb00008736?page=728</v>
      </c>
      <c r="E2885" s="19"/>
      <c r="F2885" s="19"/>
      <c r="G2885" s="19"/>
    </row>
    <row r="2886" spans="1:7" x14ac:dyDescent="0.15">
      <c r="A2886" s="19" t="s">
        <v>8993</v>
      </c>
      <c r="B2886" s="19" t="s">
        <v>9189</v>
      </c>
      <c r="C2886" s="19">
        <v>729</v>
      </c>
      <c r="D2886" s="22" t="str">
        <f>HYPERLINK("https://rmda.kulib.kyoto-u.ac.jp/item/rb00008736?page=729")</f>
        <v>https://rmda.kulib.kyoto-u.ac.jp/item/rb00008736?page=729</v>
      </c>
      <c r="E2886" s="19"/>
      <c r="F2886" s="19"/>
      <c r="G2886" s="19"/>
    </row>
    <row r="2887" spans="1:7" x14ac:dyDescent="0.15">
      <c r="A2887" s="19" t="s">
        <v>8993</v>
      </c>
      <c r="B2887" s="36" t="s">
        <v>9190</v>
      </c>
      <c r="C2887" s="19">
        <v>730</v>
      </c>
      <c r="D2887" s="22" t="str">
        <f>HYPERLINK("https://rmda.kulib.kyoto-u.ac.jp/item/rb00008736?page=730")</f>
        <v>https://rmda.kulib.kyoto-u.ac.jp/item/rb00008736?page=730</v>
      </c>
      <c r="E2887" s="19"/>
      <c r="F2887" s="19"/>
      <c r="G2887" s="19"/>
    </row>
    <row r="2888" spans="1:7" x14ac:dyDescent="0.15">
      <c r="A2888" s="19" t="s">
        <v>8993</v>
      </c>
      <c r="B2888" s="19" t="s">
        <v>9191</v>
      </c>
      <c r="C2888" s="19">
        <v>730</v>
      </c>
      <c r="D2888" s="22" t="str">
        <f>HYPERLINK("https://rmda.kulib.kyoto-u.ac.jp/item/rb00008736?page=730")</f>
        <v>https://rmda.kulib.kyoto-u.ac.jp/item/rb00008736?page=730</v>
      </c>
      <c r="E2888" s="19"/>
      <c r="F2888" s="19"/>
      <c r="G2888" s="19"/>
    </row>
    <row r="2889" spans="1:7" x14ac:dyDescent="0.15">
      <c r="A2889" s="19" t="s">
        <v>8993</v>
      </c>
      <c r="B2889" s="19" t="s">
        <v>9192</v>
      </c>
      <c r="C2889" s="19">
        <v>731</v>
      </c>
      <c r="D2889" s="22" t="str">
        <f>HYPERLINK("https://rmda.kulib.kyoto-u.ac.jp/item/rb00008736?page=731")</f>
        <v>https://rmda.kulib.kyoto-u.ac.jp/item/rb00008736?page=731</v>
      </c>
      <c r="E2889" s="19"/>
      <c r="F2889" s="19"/>
      <c r="G2889" s="19"/>
    </row>
    <row r="2890" spans="1:7" x14ac:dyDescent="0.15">
      <c r="A2890" s="19" t="s">
        <v>8993</v>
      </c>
      <c r="B2890" s="19" t="s">
        <v>9193</v>
      </c>
      <c r="C2890" s="19">
        <v>732</v>
      </c>
      <c r="D2890" s="22" t="str">
        <f>HYPERLINK("https://rmda.kulib.kyoto-u.ac.jp/item/rb00008736?page=732")</f>
        <v>https://rmda.kulib.kyoto-u.ac.jp/item/rb00008736?page=732</v>
      </c>
      <c r="E2890" s="19"/>
      <c r="F2890" s="19"/>
      <c r="G2890" s="19"/>
    </row>
    <row r="2891" spans="1:7" x14ac:dyDescent="0.15">
      <c r="A2891" s="19" t="s">
        <v>8993</v>
      </c>
      <c r="B2891" s="19" t="s">
        <v>9194</v>
      </c>
      <c r="C2891" s="19">
        <v>734</v>
      </c>
      <c r="D2891" s="22" t="str">
        <f>HYPERLINK("https://rmda.kulib.kyoto-u.ac.jp/item/rb00008736?page=734")</f>
        <v>https://rmda.kulib.kyoto-u.ac.jp/item/rb00008736?page=734</v>
      </c>
      <c r="E2891" s="19"/>
      <c r="F2891" s="19"/>
      <c r="G2891" s="19"/>
    </row>
    <row r="2892" spans="1:7" x14ac:dyDescent="0.15">
      <c r="A2892" s="19" t="s">
        <v>8993</v>
      </c>
      <c r="B2892" s="19" t="s">
        <v>9195</v>
      </c>
      <c r="C2892" s="19">
        <v>734</v>
      </c>
      <c r="D2892" s="22" t="str">
        <f>HYPERLINK("https://rmda.kulib.kyoto-u.ac.jp/item/rb00008736?page=734")</f>
        <v>https://rmda.kulib.kyoto-u.ac.jp/item/rb00008736?page=734</v>
      </c>
      <c r="E2892" s="19"/>
      <c r="F2892" s="19"/>
      <c r="G2892" s="19"/>
    </row>
    <row r="2893" spans="1:7" x14ac:dyDescent="0.15">
      <c r="A2893" s="19" t="s">
        <v>8993</v>
      </c>
      <c r="B2893" s="19" t="s">
        <v>9196</v>
      </c>
      <c r="C2893" s="19">
        <v>735</v>
      </c>
      <c r="D2893" s="22" t="str">
        <f>HYPERLINK("https://rmda.kulib.kyoto-u.ac.jp/item/rb00008736?page=735")</f>
        <v>https://rmda.kulib.kyoto-u.ac.jp/item/rb00008736?page=735</v>
      </c>
      <c r="E2893" s="19"/>
      <c r="F2893" s="19"/>
      <c r="G2893" s="19"/>
    </row>
    <row r="2894" spans="1:7" x14ac:dyDescent="0.15">
      <c r="A2894" s="19" t="s">
        <v>8993</v>
      </c>
      <c r="B2894" s="36" t="s">
        <v>9197</v>
      </c>
      <c r="C2894" s="19">
        <v>735</v>
      </c>
      <c r="D2894" s="22" t="str">
        <f>HYPERLINK("https://rmda.kulib.kyoto-u.ac.jp/item/rb00008736?page=735")</f>
        <v>https://rmda.kulib.kyoto-u.ac.jp/item/rb00008736?page=735</v>
      </c>
      <c r="E2894" s="19"/>
      <c r="F2894" s="19"/>
      <c r="G2894" s="19"/>
    </row>
    <row r="2895" spans="1:7" x14ac:dyDescent="0.15">
      <c r="A2895" s="19" t="s">
        <v>8993</v>
      </c>
      <c r="B2895" s="19" t="s">
        <v>9198</v>
      </c>
      <c r="C2895" s="19">
        <v>735</v>
      </c>
      <c r="D2895" s="22" t="str">
        <f>HYPERLINK("https://rmda.kulib.kyoto-u.ac.jp/item/rb00008736?page=735")</f>
        <v>https://rmda.kulib.kyoto-u.ac.jp/item/rb00008736?page=735</v>
      </c>
      <c r="E2895" s="19"/>
      <c r="F2895" s="19"/>
      <c r="G2895" s="19"/>
    </row>
    <row r="2896" spans="1:7" x14ac:dyDescent="0.15">
      <c r="A2896" s="19" t="s">
        <v>8993</v>
      </c>
      <c r="B2896" s="19" t="s">
        <v>9199</v>
      </c>
      <c r="C2896" s="19">
        <v>736</v>
      </c>
      <c r="D2896" s="22" t="str">
        <f>HYPERLINK("https://rmda.kulib.kyoto-u.ac.jp/item/rb00008736?page=736")</f>
        <v>https://rmda.kulib.kyoto-u.ac.jp/item/rb00008736?page=736</v>
      </c>
      <c r="E2896" s="19"/>
      <c r="F2896" s="19"/>
      <c r="G2896" s="19"/>
    </row>
    <row r="2897" spans="1:7" x14ac:dyDescent="0.15">
      <c r="A2897" s="19" t="s">
        <v>8993</v>
      </c>
      <c r="B2897" s="19" t="s">
        <v>9200</v>
      </c>
      <c r="C2897" s="19">
        <v>737</v>
      </c>
      <c r="D2897" s="22" t="str">
        <f>HYPERLINK("https://rmda.kulib.kyoto-u.ac.jp/item/rb00008736?page=737")</f>
        <v>https://rmda.kulib.kyoto-u.ac.jp/item/rb00008736?page=737</v>
      </c>
      <c r="E2897" s="19"/>
      <c r="F2897" s="19"/>
      <c r="G2897" s="19"/>
    </row>
    <row r="2898" spans="1:7" x14ac:dyDescent="0.15">
      <c r="A2898" s="19" t="s">
        <v>8993</v>
      </c>
      <c r="B2898" s="36" t="s">
        <v>9201</v>
      </c>
      <c r="C2898" s="19">
        <v>739</v>
      </c>
      <c r="D2898" s="22" t="str">
        <f>HYPERLINK("https://rmda.kulib.kyoto-u.ac.jp/item/rb00008736?page=739")</f>
        <v>https://rmda.kulib.kyoto-u.ac.jp/item/rb00008736?page=739</v>
      </c>
      <c r="E2898" s="19"/>
      <c r="F2898" s="19"/>
      <c r="G2898" s="19"/>
    </row>
    <row r="2899" spans="1:7" x14ac:dyDescent="0.15">
      <c r="A2899" s="19" t="s">
        <v>8993</v>
      </c>
      <c r="B2899" s="19" t="s">
        <v>9202</v>
      </c>
      <c r="C2899" s="19">
        <v>739</v>
      </c>
      <c r="D2899" s="22" t="str">
        <f>HYPERLINK("https://rmda.kulib.kyoto-u.ac.jp/item/rb00008736?page=739")</f>
        <v>https://rmda.kulib.kyoto-u.ac.jp/item/rb00008736?page=739</v>
      </c>
      <c r="E2899" s="19"/>
      <c r="F2899" s="19"/>
      <c r="G2899" s="19"/>
    </row>
    <row r="2900" spans="1:7" x14ac:dyDescent="0.15">
      <c r="A2900" s="19" t="s">
        <v>8993</v>
      </c>
      <c r="B2900" s="36" t="s">
        <v>9203</v>
      </c>
      <c r="C2900" s="19">
        <v>740</v>
      </c>
      <c r="D2900" s="22" t="str">
        <f>HYPERLINK("https://rmda.kulib.kyoto-u.ac.jp/item/rb00008736?page=740")</f>
        <v>https://rmda.kulib.kyoto-u.ac.jp/item/rb00008736?page=740</v>
      </c>
      <c r="E2900" s="19"/>
      <c r="F2900" s="19"/>
      <c r="G2900" s="19"/>
    </row>
    <row r="2901" spans="1:7" x14ac:dyDescent="0.15">
      <c r="A2901" s="19" t="s">
        <v>8993</v>
      </c>
      <c r="B2901" s="19" t="s">
        <v>9204</v>
      </c>
      <c r="C2901" s="19">
        <v>740</v>
      </c>
      <c r="D2901" s="22" t="str">
        <f>HYPERLINK("https://rmda.kulib.kyoto-u.ac.jp/item/rb00008736?page=740")</f>
        <v>https://rmda.kulib.kyoto-u.ac.jp/item/rb00008736?page=740</v>
      </c>
      <c r="E2901" s="19"/>
      <c r="F2901" s="19"/>
      <c r="G2901" s="19"/>
    </row>
    <row r="2902" spans="1:7" x14ac:dyDescent="0.15">
      <c r="A2902" s="19" t="s">
        <v>8993</v>
      </c>
      <c r="B2902" s="19" t="s">
        <v>9205</v>
      </c>
      <c r="C2902" s="19">
        <v>741</v>
      </c>
      <c r="D2902" s="22" t="str">
        <f>HYPERLINK("https://rmda.kulib.kyoto-u.ac.jp/item/rb00008736?page=741")</f>
        <v>https://rmda.kulib.kyoto-u.ac.jp/item/rb00008736?page=741</v>
      </c>
      <c r="E2902" s="19"/>
      <c r="F2902" s="19"/>
      <c r="G2902" s="19"/>
    </row>
    <row r="2903" spans="1:7" x14ac:dyDescent="0.15">
      <c r="A2903" s="19" t="s">
        <v>8993</v>
      </c>
      <c r="B2903" s="19" t="s">
        <v>9206</v>
      </c>
      <c r="C2903" s="19">
        <v>742</v>
      </c>
      <c r="D2903" s="22" t="str">
        <f>HYPERLINK("https://rmda.kulib.kyoto-u.ac.jp/item/rb00008736?page=742")</f>
        <v>https://rmda.kulib.kyoto-u.ac.jp/item/rb00008736?page=742</v>
      </c>
      <c r="E2903" s="19"/>
      <c r="F2903" s="19"/>
      <c r="G2903" s="19"/>
    </row>
    <row r="2904" spans="1:7" x14ac:dyDescent="0.15">
      <c r="A2904" s="19" t="s">
        <v>8993</v>
      </c>
      <c r="B2904" s="19" t="s">
        <v>9207</v>
      </c>
      <c r="C2904" s="19">
        <v>742</v>
      </c>
      <c r="D2904" s="22" t="str">
        <f>HYPERLINK("https://rmda.kulib.kyoto-u.ac.jp/item/rb00008736?page=742")</f>
        <v>https://rmda.kulib.kyoto-u.ac.jp/item/rb00008736?page=742</v>
      </c>
      <c r="E2904" s="19"/>
      <c r="F2904" s="19"/>
      <c r="G2904" s="19"/>
    </row>
    <row r="2905" spans="1:7" x14ac:dyDescent="0.15">
      <c r="A2905" s="19" t="s">
        <v>8993</v>
      </c>
      <c r="B2905" s="19" t="s">
        <v>9208</v>
      </c>
      <c r="C2905" s="19">
        <v>743</v>
      </c>
      <c r="D2905" s="22" t="str">
        <f>HYPERLINK("https://rmda.kulib.kyoto-u.ac.jp/item/rb00008736?page=743")</f>
        <v>https://rmda.kulib.kyoto-u.ac.jp/item/rb00008736?page=743</v>
      </c>
      <c r="E2905" s="19"/>
      <c r="F2905" s="19"/>
      <c r="G2905" s="19"/>
    </row>
    <row r="2906" spans="1:7" x14ac:dyDescent="0.15">
      <c r="A2906" s="19" t="s">
        <v>8993</v>
      </c>
      <c r="B2906" s="19" t="s">
        <v>9209</v>
      </c>
      <c r="C2906" s="19">
        <v>743</v>
      </c>
      <c r="D2906" s="22" t="str">
        <f>HYPERLINK("https://rmda.kulib.kyoto-u.ac.jp/item/rb00008736?page=743")</f>
        <v>https://rmda.kulib.kyoto-u.ac.jp/item/rb00008736?page=743</v>
      </c>
      <c r="E2906" s="19"/>
      <c r="F2906" s="19"/>
      <c r="G2906" s="19"/>
    </row>
    <row r="2907" spans="1:7" x14ac:dyDescent="0.15">
      <c r="A2907" s="19" t="s">
        <v>8993</v>
      </c>
      <c r="B2907" s="36" t="s">
        <v>9210</v>
      </c>
      <c r="C2907" s="19">
        <v>745</v>
      </c>
      <c r="D2907" s="22" t="str">
        <f>HYPERLINK("https://rmda.kulib.kyoto-u.ac.jp/item/rb00008736?page=745")</f>
        <v>https://rmda.kulib.kyoto-u.ac.jp/item/rb00008736?page=745</v>
      </c>
      <c r="E2907" s="19"/>
      <c r="F2907" s="19"/>
      <c r="G2907" s="19"/>
    </row>
    <row r="2908" spans="1:7" x14ac:dyDescent="0.15">
      <c r="A2908" s="19" t="s">
        <v>8993</v>
      </c>
      <c r="B2908" s="19" t="s">
        <v>9211</v>
      </c>
      <c r="C2908" s="19">
        <v>745</v>
      </c>
      <c r="D2908" s="22" t="str">
        <f>HYPERLINK("https://rmda.kulib.kyoto-u.ac.jp/item/rb00008736?page=745")</f>
        <v>https://rmda.kulib.kyoto-u.ac.jp/item/rb00008736?page=745</v>
      </c>
      <c r="E2908" s="19"/>
      <c r="F2908" s="19"/>
      <c r="G2908" s="19"/>
    </row>
    <row r="2909" spans="1:7" x14ac:dyDescent="0.15">
      <c r="A2909" s="19" t="s">
        <v>8993</v>
      </c>
      <c r="B2909" s="19" t="s">
        <v>9212</v>
      </c>
      <c r="C2909" s="19">
        <v>746</v>
      </c>
      <c r="D2909" s="22" t="str">
        <f>HYPERLINK("https://rmda.kulib.kyoto-u.ac.jp/item/rb00008736?page=746")</f>
        <v>https://rmda.kulib.kyoto-u.ac.jp/item/rb00008736?page=746</v>
      </c>
      <c r="E2909" s="19"/>
      <c r="F2909" s="19"/>
      <c r="G2909" s="19"/>
    </row>
    <row r="2910" spans="1:7" x14ac:dyDescent="0.15">
      <c r="A2910" s="19" t="s">
        <v>8993</v>
      </c>
      <c r="B2910" s="19" t="s">
        <v>9213</v>
      </c>
      <c r="C2910" s="19">
        <v>746</v>
      </c>
      <c r="D2910" s="22" t="str">
        <f>HYPERLINK("https://rmda.kulib.kyoto-u.ac.jp/item/rb00008736?page=746")</f>
        <v>https://rmda.kulib.kyoto-u.ac.jp/item/rb00008736?page=746</v>
      </c>
      <c r="E2910" s="19"/>
      <c r="F2910" s="19"/>
      <c r="G2910" s="19"/>
    </row>
    <row r="2911" spans="1:7" x14ac:dyDescent="0.15">
      <c r="A2911" s="19" t="s">
        <v>8993</v>
      </c>
      <c r="B2911" s="19" t="s">
        <v>9214</v>
      </c>
      <c r="C2911" s="19">
        <v>747</v>
      </c>
      <c r="D2911" s="22" t="str">
        <f>HYPERLINK("https://rmda.kulib.kyoto-u.ac.jp/item/rb00008736?page=747")</f>
        <v>https://rmda.kulib.kyoto-u.ac.jp/item/rb00008736?page=747</v>
      </c>
      <c r="E2911" s="19"/>
      <c r="F2911" s="19"/>
      <c r="G2911" s="19"/>
    </row>
    <row r="2912" spans="1:7" x14ac:dyDescent="0.15">
      <c r="A2912" s="19" t="s">
        <v>8993</v>
      </c>
      <c r="B2912" s="19" t="s">
        <v>9215</v>
      </c>
      <c r="C2912" s="19">
        <v>747</v>
      </c>
      <c r="D2912" s="22" t="str">
        <f>HYPERLINK("https://rmda.kulib.kyoto-u.ac.jp/item/rb00008736?page=747")</f>
        <v>https://rmda.kulib.kyoto-u.ac.jp/item/rb00008736?page=747</v>
      </c>
      <c r="E2912" s="19"/>
      <c r="F2912" s="19"/>
      <c r="G2912" s="19"/>
    </row>
    <row r="2913" spans="1:7" x14ac:dyDescent="0.15">
      <c r="A2913" s="19" t="s">
        <v>8993</v>
      </c>
      <c r="B2913" s="19" t="s">
        <v>9216</v>
      </c>
      <c r="C2913" s="19">
        <v>747</v>
      </c>
      <c r="D2913" s="22" t="str">
        <f>HYPERLINK("https://rmda.kulib.kyoto-u.ac.jp/item/rb00008736?page=747")</f>
        <v>https://rmda.kulib.kyoto-u.ac.jp/item/rb00008736?page=747</v>
      </c>
      <c r="E2913" s="19"/>
      <c r="F2913" s="19"/>
      <c r="G2913" s="19"/>
    </row>
    <row r="2914" spans="1:7" x14ac:dyDescent="0.15">
      <c r="A2914" s="19" t="s">
        <v>8993</v>
      </c>
      <c r="B2914" s="19" t="s">
        <v>9217</v>
      </c>
      <c r="C2914" s="19">
        <v>749</v>
      </c>
      <c r="D2914" s="22" t="str">
        <f>HYPERLINK("https://rmda.kulib.kyoto-u.ac.jp/item/rb00008736?page=749")</f>
        <v>https://rmda.kulib.kyoto-u.ac.jp/item/rb00008736?page=749</v>
      </c>
      <c r="E2914" s="19"/>
      <c r="F2914" s="19"/>
      <c r="G2914" s="19"/>
    </row>
    <row r="2915" spans="1:7" x14ac:dyDescent="0.15">
      <c r="A2915" s="19" t="s">
        <v>8993</v>
      </c>
      <c r="B2915" s="19" t="s">
        <v>9218</v>
      </c>
      <c r="C2915" s="19">
        <v>750</v>
      </c>
      <c r="D2915" s="22" t="str">
        <f>HYPERLINK("https://rmda.kulib.kyoto-u.ac.jp/item/rb00008736?page=750")</f>
        <v>https://rmda.kulib.kyoto-u.ac.jp/item/rb00008736?page=750</v>
      </c>
      <c r="E2915" s="19"/>
      <c r="F2915" s="19"/>
      <c r="G2915" s="19"/>
    </row>
    <row r="2916" spans="1:7" x14ac:dyDescent="0.15">
      <c r="A2916" s="19" t="s">
        <v>8993</v>
      </c>
      <c r="B2916" s="19" t="s">
        <v>9219</v>
      </c>
      <c r="C2916" s="19">
        <v>751</v>
      </c>
      <c r="D2916" s="22" t="str">
        <f>HYPERLINK("https://rmda.kulib.kyoto-u.ac.jp/item/rb00008736?page=751")</f>
        <v>https://rmda.kulib.kyoto-u.ac.jp/item/rb00008736?page=751</v>
      </c>
      <c r="E2916" s="19"/>
      <c r="F2916" s="19"/>
      <c r="G2916" s="19"/>
    </row>
    <row r="2917" spans="1:7" x14ac:dyDescent="0.15">
      <c r="A2917" s="19" t="s">
        <v>8993</v>
      </c>
      <c r="B2917" s="19" t="s">
        <v>9220</v>
      </c>
      <c r="C2917" s="19">
        <v>752</v>
      </c>
      <c r="D2917" s="22" t="str">
        <f>HYPERLINK("https://rmda.kulib.kyoto-u.ac.jp/item/rb00008736?page=752")</f>
        <v>https://rmda.kulib.kyoto-u.ac.jp/item/rb00008736?page=752</v>
      </c>
      <c r="E2917" s="19"/>
      <c r="F2917" s="19"/>
      <c r="G2917" s="19"/>
    </row>
    <row r="2918" spans="1:7" x14ac:dyDescent="0.15">
      <c r="A2918" s="19" t="s">
        <v>8993</v>
      </c>
      <c r="B2918" s="19" t="s">
        <v>9221</v>
      </c>
      <c r="C2918" s="19">
        <v>752</v>
      </c>
      <c r="D2918" s="22" t="str">
        <f>HYPERLINK("https://rmda.kulib.kyoto-u.ac.jp/item/rb00008736?page=752")</f>
        <v>https://rmda.kulib.kyoto-u.ac.jp/item/rb00008736?page=752</v>
      </c>
      <c r="E2918" s="19"/>
      <c r="F2918" s="19"/>
      <c r="G2918" s="19"/>
    </row>
    <row r="2919" spans="1:7" x14ac:dyDescent="0.15">
      <c r="A2919" s="19" t="s">
        <v>8993</v>
      </c>
      <c r="B2919" s="19" t="s">
        <v>9222</v>
      </c>
      <c r="C2919" s="19">
        <v>753</v>
      </c>
      <c r="D2919" s="22" t="str">
        <f>HYPERLINK("https://rmda.kulib.kyoto-u.ac.jp/item/rb00008736?page=753")</f>
        <v>https://rmda.kulib.kyoto-u.ac.jp/item/rb00008736?page=753</v>
      </c>
      <c r="E2919" s="19"/>
      <c r="F2919" s="19"/>
      <c r="G2919" s="19"/>
    </row>
    <row r="2920" spans="1:7" x14ac:dyDescent="0.15">
      <c r="A2920" s="19" t="s">
        <v>8993</v>
      </c>
      <c r="B2920" s="19" t="s">
        <v>9223</v>
      </c>
      <c r="C2920" s="19">
        <v>755</v>
      </c>
      <c r="D2920" s="22" t="str">
        <f>HYPERLINK("https://rmda.kulib.kyoto-u.ac.jp/item/rb00008736?page=755")</f>
        <v>https://rmda.kulib.kyoto-u.ac.jp/item/rb00008736?page=755</v>
      </c>
      <c r="E2920" s="19"/>
      <c r="F2920" s="19"/>
      <c r="G2920" s="19"/>
    </row>
    <row r="2921" spans="1:7" x14ac:dyDescent="0.15">
      <c r="A2921" s="19" t="s">
        <v>8993</v>
      </c>
      <c r="B2921" s="19" t="s">
        <v>9224</v>
      </c>
      <c r="C2921" s="19">
        <v>755</v>
      </c>
      <c r="D2921" s="22" t="str">
        <f>HYPERLINK("https://rmda.kulib.kyoto-u.ac.jp/item/rb00008736?page=755")</f>
        <v>https://rmda.kulib.kyoto-u.ac.jp/item/rb00008736?page=755</v>
      </c>
      <c r="E2921" s="19"/>
      <c r="F2921" s="19"/>
      <c r="G2921" s="19"/>
    </row>
    <row r="2922" spans="1:7" x14ac:dyDescent="0.15">
      <c r="A2922" s="19" t="s">
        <v>8993</v>
      </c>
      <c r="B2922" s="19" t="s">
        <v>9225</v>
      </c>
      <c r="C2922" s="19">
        <v>755</v>
      </c>
      <c r="D2922" s="22" t="str">
        <f>HYPERLINK("https://rmda.kulib.kyoto-u.ac.jp/item/rb00008736?page=755")</f>
        <v>https://rmda.kulib.kyoto-u.ac.jp/item/rb00008736?page=755</v>
      </c>
      <c r="E2922" s="19"/>
      <c r="F2922" s="19"/>
      <c r="G2922" s="19"/>
    </row>
    <row r="2923" spans="1:7" x14ac:dyDescent="0.15">
      <c r="A2923" s="19" t="s">
        <v>8993</v>
      </c>
      <c r="B2923" s="36" t="s">
        <v>9226</v>
      </c>
      <c r="C2923" s="19">
        <v>757</v>
      </c>
      <c r="D2923" s="22" t="str">
        <f>HYPERLINK("https://rmda.kulib.kyoto-u.ac.jp/item/rb00008736?page=757")</f>
        <v>https://rmda.kulib.kyoto-u.ac.jp/item/rb00008736?page=757</v>
      </c>
      <c r="E2923" s="19"/>
      <c r="F2923" s="19"/>
      <c r="G2923" s="19"/>
    </row>
    <row r="2924" spans="1:7" x14ac:dyDescent="0.15">
      <c r="A2924" s="19" t="s">
        <v>8993</v>
      </c>
      <c r="B2924" s="19" t="s">
        <v>9227</v>
      </c>
      <c r="C2924" s="19">
        <v>757</v>
      </c>
      <c r="D2924" s="22" t="str">
        <f>HYPERLINK("https://rmda.kulib.kyoto-u.ac.jp/item/rb00008736?page=757")</f>
        <v>https://rmda.kulib.kyoto-u.ac.jp/item/rb00008736?page=757</v>
      </c>
      <c r="E2924" s="19"/>
      <c r="F2924" s="19"/>
      <c r="G2924" s="19"/>
    </row>
    <row r="2925" spans="1:7" x14ac:dyDescent="0.15">
      <c r="A2925" s="19" t="s">
        <v>8993</v>
      </c>
      <c r="B2925" s="19" t="s">
        <v>9228</v>
      </c>
      <c r="C2925" s="19">
        <v>757</v>
      </c>
      <c r="D2925" s="22" t="str">
        <f>HYPERLINK("https://rmda.kulib.kyoto-u.ac.jp/item/rb00008736?page=757")</f>
        <v>https://rmda.kulib.kyoto-u.ac.jp/item/rb00008736?page=757</v>
      </c>
      <c r="E2925" s="19"/>
      <c r="F2925" s="19"/>
      <c r="G2925" s="19"/>
    </row>
    <row r="2926" spans="1:7" x14ac:dyDescent="0.15">
      <c r="A2926" s="19" t="s">
        <v>8993</v>
      </c>
      <c r="B2926" s="19" t="s">
        <v>9229</v>
      </c>
      <c r="C2926" s="19">
        <v>759</v>
      </c>
      <c r="D2926" s="22" t="str">
        <f>HYPERLINK("https://rmda.kulib.kyoto-u.ac.jp/item/rb00008736?page=759")</f>
        <v>https://rmda.kulib.kyoto-u.ac.jp/item/rb00008736?page=759</v>
      </c>
      <c r="E2926" s="19"/>
      <c r="F2926" s="19"/>
      <c r="G2926" s="19"/>
    </row>
    <row r="2927" spans="1:7" x14ac:dyDescent="0.15">
      <c r="A2927" s="19" t="s">
        <v>8993</v>
      </c>
      <c r="B2927" s="19" t="s">
        <v>9230</v>
      </c>
      <c r="C2927" s="19">
        <v>760</v>
      </c>
      <c r="D2927" s="22" t="str">
        <f>HYPERLINK("https://rmda.kulib.kyoto-u.ac.jp/item/rb00008736?page=760")</f>
        <v>https://rmda.kulib.kyoto-u.ac.jp/item/rb00008736?page=760</v>
      </c>
      <c r="E2927" s="19"/>
      <c r="F2927" s="19"/>
      <c r="G2927" s="19"/>
    </row>
    <row r="2928" spans="1:7" x14ac:dyDescent="0.15">
      <c r="A2928" s="19" t="s">
        <v>8993</v>
      </c>
      <c r="B2928" s="19" t="s">
        <v>9231</v>
      </c>
      <c r="C2928" s="19">
        <v>761</v>
      </c>
      <c r="D2928" s="22" t="str">
        <f>HYPERLINK("https://rmda.kulib.kyoto-u.ac.jp/item/rb00008736?page=761")</f>
        <v>https://rmda.kulib.kyoto-u.ac.jp/item/rb00008736?page=761</v>
      </c>
      <c r="E2928" s="19"/>
      <c r="F2928" s="19"/>
      <c r="G2928" s="19"/>
    </row>
    <row r="2929" spans="1:7" x14ac:dyDescent="0.15">
      <c r="A2929" s="19" t="s">
        <v>8993</v>
      </c>
      <c r="B2929" s="19" t="s">
        <v>9232</v>
      </c>
      <c r="C2929" s="19">
        <v>763</v>
      </c>
      <c r="D2929" s="22" t="str">
        <f>HYPERLINK("https://rmda.kulib.kyoto-u.ac.jp/item/rb00008736?page=763")</f>
        <v>https://rmda.kulib.kyoto-u.ac.jp/item/rb00008736?page=763</v>
      </c>
      <c r="E2929" s="19"/>
      <c r="F2929" s="19"/>
      <c r="G2929" s="19"/>
    </row>
    <row r="2930" spans="1:7" x14ac:dyDescent="0.15">
      <c r="A2930" s="19" t="s">
        <v>8993</v>
      </c>
      <c r="B2930" s="19" t="s">
        <v>9233</v>
      </c>
      <c r="C2930" s="19">
        <v>765</v>
      </c>
      <c r="D2930" s="22" t="str">
        <f>HYPERLINK("https://rmda.kulib.kyoto-u.ac.jp/item/rb00008736?page=765")</f>
        <v>https://rmda.kulib.kyoto-u.ac.jp/item/rb00008736?page=765</v>
      </c>
      <c r="E2930" s="19"/>
      <c r="F2930" s="19"/>
      <c r="G2930" s="19"/>
    </row>
    <row r="2931" spans="1:7" x14ac:dyDescent="0.15">
      <c r="A2931" s="19" t="s">
        <v>8993</v>
      </c>
      <c r="B2931" s="19" t="s">
        <v>9234</v>
      </c>
      <c r="C2931" s="19">
        <v>767</v>
      </c>
      <c r="D2931" s="22" t="str">
        <f>HYPERLINK("https://rmda.kulib.kyoto-u.ac.jp/item/rb00008736?page=767")</f>
        <v>https://rmda.kulib.kyoto-u.ac.jp/item/rb00008736?page=767</v>
      </c>
      <c r="E2931" s="19"/>
      <c r="F2931" s="19"/>
      <c r="G2931" s="19"/>
    </row>
    <row r="2932" spans="1:7" x14ac:dyDescent="0.15">
      <c r="A2932" s="19" t="s">
        <v>8993</v>
      </c>
      <c r="B2932" s="19" t="s">
        <v>9235</v>
      </c>
      <c r="C2932" s="19">
        <v>768</v>
      </c>
      <c r="D2932" s="22" t="str">
        <f>HYPERLINK("https://rmda.kulib.kyoto-u.ac.jp/item/rb00008736?page=768")</f>
        <v>https://rmda.kulib.kyoto-u.ac.jp/item/rb00008736?page=768</v>
      </c>
      <c r="E2932" s="19"/>
      <c r="F2932" s="19"/>
      <c r="G2932" s="19"/>
    </row>
    <row r="2933" spans="1:7" x14ac:dyDescent="0.15">
      <c r="A2933" s="19" t="s">
        <v>8993</v>
      </c>
      <c r="B2933" s="36" t="s">
        <v>9236</v>
      </c>
      <c r="C2933" s="19">
        <v>773</v>
      </c>
      <c r="D2933" s="22" t="str">
        <f>HYPERLINK("https://rmda.kulib.kyoto-u.ac.jp/item/rb00008736?page=773")</f>
        <v>https://rmda.kulib.kyoto-u.ac.jp/item/rb00008736?page=773</v>
      </c>
      <c r="E2933" s="19"/>
      <c r="F2933" s="19"/>
      <c r="G2933" s="19"/>
    </row>
    <row r="2934" spans="1:7" x14ac:dyDescent="0.15">
      <c r="A2934" s="19" t="s">
        <v>8993</v>
      </c>
      <c r="B2934" s="36" t="s">
        <v>9237</v>
      </c>
      <c r="C2934" s="19">
        <v>773</v>
      </c>
      <c r="D2934" s="22" t="str">
        <f>HYPERLINK("https://rmda.kulib.kyoto-u.ac.jp/item/rb00008736?page=773")</f>
        <v>https://rmda.kulib.kyoto-u.ac.jp/item/rb00008736?page=773</v>
      </c>
      <c r="E2934" s="19"/>
      <c r="F2934" s="19"/>
      <c r="G2934" s="19"/>
    </row>
    <row r="2935" spans="1:7" x14ac:dyDescent="0.15">
      <c r="A2935" s="19" t="s">
        <v>8993</v>
      </c>
      <c r="B2935" s="33" t="s">
        <v>9238</v>
      </c>
      <c r="C2935" s="19">
        <v>773</v>
      </c>
      <c r="D2935" s="22" t="str">
        <f>HYPERLINK("https://rmda.kulib.kyoto-u.ac.jp/item/rb00008736?page=773")</f>
        <v>https://rmda.kulib.kyoto-u.ac.jp/item/rb00008736?page=773</v>
      </c>
      <c r="E2935" s="19"/>
      <c r="F2935" s="19"/>
      <c r="G2935" s="19"/>
    </row>
    <row r="2936" spans="1:7" x14ac:dyDescent="0.15">
      <c r="A2936" s="19" t="s">
        <v>8993</v>
      </c>
      <c r="B2936" s="19" t="s">
        <v>9239</v>
      </c>
      <c r="C2936" s="19">
        <v>778</v>
      </c>
      <c r="D2936" s="22" t="str">
        <f>HYPERLINK("https://rmda.kulib.kyoto-u.ac.jp/item/rb00008736?page=778")</f>
        <v>https://rmda.kulib.kyoto-u.ac.jp/item/rb00008736?page=778</v>
      </c>
      <c r="E2936" s="19"/>
      <c r="F2936" s="19"/>
      <c r="G2936" s="19"/>
    </row>
    <row r="2937" spans="1:7" x14ac:dyDescent="0.15">
      <c r="A2937" s="19" t="s">
        <v>8993</v>
      </c>
      <c r="B2937" s="19" t="s">
        <v>9240</v>
      </c>
      <c r="C2937" s="19">
        <v>779</v>
      </c>
      <c r="D2937" s="22" t="str">
        <f>HYPERLINK("https://rmda.kulib.kyoto-u.ac.jp/item/rb00008736?page=779")</f>
        <v>https://rmda.kulib.kyoto-u.ac.jp/item/rb00008736?page=779</v>
      </c>
      <c r="E2937" s="19"/>
      <c r="F2937" s="19"/>
      <c r="G2937" s="19"/>
    </row>
    <row r="2938" spans="1:7" x14ac:dyDescent="0.15">
      <c r="A2938" s="19" t="s">
        <v>8993</v>
      </c>
      <c r="B2938" s="19" t="s">
        <v>9241</v>
      </c>
      <c r="C2938" s="19">
        <v>781</v>
      </c>
      <c r="D2938" s="22" t="str">
        <f>HYPERLINK("https://rmda.kulib.kyoto-u.ac.jp/item/rb00008736?page=781")</f>
        <v>https://rmda.kulib.kyoto-u.ac.jp/item/rb00008736?page=781</v>
      </c>
      <c r="E2938" s="19"/>
      <c r="F2938" s="19"/>
      <c r="G2938" s="19"/>
    </row>
    <row r="2939" spans="1:7" x14ac:dyDescent="0.15">
      <c r="A2939" s="19" t="s">
        <v>8993</v>
      </c>
      <c r="B2939" s="19" t="s">
        <v>9242</v>
      </c>
      <c r="C2939" s="19">
        <v>782</v>
      </c>
      <c r="D2939" s="22" t="str">
        <f>HYPERLINK("https://rmda.kulib.kyoto-u.ac.jp/item/rb00008736?page=782")</f>
        <v>https://rmda.kulib.kyoto-u.ac.jp/item/rb00008736?page=782</v>
      </c>
      <c r="E2939" s="19"/>
      <c r="F2939" s="19"/>
      <c r="G2939" s="19"/>
    </row>
    <row r="2940" spans="1:7" x14ac:dyDescent="0.15">
      <c r="A2940" s="19" t="s">
        <v>8993</v>
      </c>
      <c r="B2940" s="19" t="s">
        <v>9243</v>
      </c>
      <c r="C2940" s="19">
        <v>790</v>
      </c>
      <c r="D2940" s="22" t="str">
        <f>HYPERLINK("https://rmda.kulib.kyoto-u.ac.jp/item/rb00008736?page=790")</f>
        <v>https://rmda.kulib.kyoto-u.ac.jp/item/rb00008736?page=790</v>
      </c>
      <c r="E2940" s="19"/>
      <c r="F2940" s="19"/>
      <c r="G2940" s="19"/>
    </row>
    <row r="2941" spans="1:7" x14ac:dyDescent="0.15">
      <c r="A2941" s="19" t="s">
        <v>8993</v>
      </c>
      <c r="B2941" s="19" t="s">
        <v>9244</v>
      </c>
      <c r="C2941" s="19">
        <v>792</v>
      </c>
      <c r="D2941" s="22" t="str">
        <f>HYPERLINK("https://rmda.kulib.kyoto-u.ac.jp/item/rb00008736?page=792")</f>
        <v>https://rmda.kulib.kyoto-u.ac.jp/item/rb00008736?page=792</v>
      </c>
      <c r="E2941" s="19"/>
      <c r="F2941" s="19"/>
      <c r="G2941" s="19"/>
    </row>
    <row r="2942" spans="1:7" x14ac:dyDescent="0.15">
      <c r="A2942" s="19" t="s">
        <v>8993</v>
      </c>
      <c r="B2942" s="36" t="s">
        <v>9245</v>
      </c>
      <c r="C2942" s="19">
        <v>797</v>
      </c>
      <c r="D2942" s="22" t="str">
        <f>HYPERLINK("https://rmda.kulib.kyoto-u.ac.jp/item/rb00008736?page=797")</f>
        <v>https://rmda.kulib.kyoto-u.ac.jp/item/rb00008736?page=797</v>
      </c>
      <c r="E2942" s="19"/>
      <c r="F2942" s="19"/>
      <c r="G2942" s="19"/>
    </row>
    <row r="2943" spans="1:7" x14ac:dyDescent="0.15">
      <c r="A2943" s="19" t="s">
        <v>8993</v>
      </c>
      <c r="B2943" s="19" t="s">
        <v>9246</v>
      </c>
      <c r="C2943" s="19">
        <v>797</v>
      </c>
      <c r="D2943" s="22" t="str">
        <f>HYPERLINK("https://rmda.kulib.kyoto-u.ac.jp/item/rb00008736?page=797")</f>
        <v>https://rmda.kulib.kyoto-u.ac.jp/item/rb00008736?page=797</v>
      </c>
      <c r="E2943" s="19"/>
      <c r="F2943" s="19"/>
      <c r="G2943" s="19"/>
    </row>
    <row r="2944" spans="1:7" x14ac:dyDescent="0.15">
      <c r="A2944" s="19" t="s">
        <v>8993</v>
      </c>
      <c r="B2944" s="19" t="s">
        <v>9247</v>
      </c>
      <c r="C2944" s="19">
        <v>800</v>
      </c>
      <c r="D2944" s="22" t="str">
        <f>HYPERLINK("https://rmda.kulib.kyoto-u.ac.jp/item/rb00008736?page=800")</f>
        <v>https://rmda.kulib.kyoto-u.ac.jp/item/rb00008736?page=800</v>
      </c>
      <c r="E2944" s="19"/>
      <c r="F2944" s="19"/>
      <c r="G2944" s="19"/>
    </row>
    <row r="2945" spans="1:7" x14ac:dyDescent="0.15">
      <c r="A2945" s="19" t="s">
        <v>8993</v>
      </c>
      <c r="B2945" s="19" t="s">
        <v>9248</v>
      </c>
      <c r="C2945" s="19">
        <v>802</v>
      </c>
      <c r="D2945" s="22" t="str">
        <f>HYPERLINK("https://rmda.kulib.kyoto-u.ac.jp/item/rb00008736?page=802")</f>
        <v>https://rmda.kulib.kyoto-u.ac.jp/item/rb00008736?page=802</v>
      </c>
      <c r="E2945" s="19"/>
      <c r="F2945" s="19"/>
      <c r="G2945" s="19"/>
    </row>
    <row r="2946" spans="1:7" x14ac:dyDescent="0.15">
      <c r="A2946" s="19" t="s">
        <v>8993</v>
      </c>
      <c r="B2946" s="19" t="s">
        <v>9249</v>
      </c>
      <c r="C2946" s="19">
        <v>803</v>
      </c>
      <c r="D2946" s="22" t="str">
        <f>HYPERLINK("https://rmda.kulib.kyoto-u.ac.jp/item/rb00008736?page=803")</f>
        <v>https://rmda.kulib.kyoto-u.ac.jp/item/rb00008736?page=803</v>
      </c>
      <c r="E2946" s="19"/>
      <c r="F2946" s="19"/>
      <c r="G2946" s="19"/>
    </row>
    <row r="2947" spans="1:7" x14ac:dyDescent="0.15">
      <c r="A2947" s="19" t="s">
        <v>8993</v>
      </c>
      <c r="B2947" s="19" t="s">
        <v>9250</v>
      </c>
      <c r="C2947" s="19">
        <v>804</v>
      </c>
      <c r="D2947" s="22" t="str">
        <f>HYPERLINK("https://rmda.kulib.kyoto-u.ac.jp/item/rb00008736?page=804")</f>
        <v>https://rmda.kulib.kyoto-u.ac.jp/item/rb00008736?page=804</v>
      </c>
      <c r="E2947" s="19"/>
      <c r="F2947" s="19"/>
      <c r="G2947" s="19"/>
    </row>
    <row r="2948" spans="1:7" x14ac:dyDescent="0.15">
      <c r="A2948" s="19" t="s">
        <v>8993</v>
      </c>
      <c r="B2948" s="19" t="s">
        <v>9251</v>
      </c>
      <c r="C2948" s="19">
        <v>804</v>
      </c>
      <c r="D2948" s="22" t="str">
        <f>HYPERLINK("https://rmda.kulib.kyoto-u.ac.jp/item/rb00008736?page=804")</f>
        <v>https://rmda.kulib.kyoto-u.ac.jp/item/rb00008736?page=804</v>
      </c>
      <c r="E2948" s="19"/>
      <c r="F2948" s="19"/>
      <c r="G2948" s="19"/>
    </row>
    <row r="2949" spans="1:7" x14ac:dyDescent="0.15">
      <c r="A2949" s="19" t="s">
        <v>8993</v>
      </c>
      <c r="B2949" s="19" t="s">
        <v>9252</v>
      </c>
      <c r="C2949" s="19">
        <v>807</v>
      </c>
      <c r="D2949" s="22" t="str">
        <f>HYPERLINK("https://rmda.kulib.kyoto-u.ac.jp/item/rb00008736?page=807")</f>
        <v>https://rmda.kulib.kyoto-u.ac.jp/item/rb00008736?page=807</v>
      </c>
      <c r="E2949" s="19"/>
      <c r="F2949" s="19"/>
      <c r="G2949" s="19"/>
    </row>
    <row r="2950" spans="1:7" x14ac:dyDescent="0.15">
      <c r="A2950" s="19" t="s">
        <v>8993</v>
      </c>
      <c r="B2950" s="19" t="s">
        <v>9253</v>
      </c>
      <c r="C2950" s="19">
        <v>807</v>
      </c>
      <c r="D2950" s="22" t="str">
        <f>HYPERLINK("https://rmda.kulib.kyoto-u.ac.jp/item/rb00008736?page=807")</f>
        <v>https://rmda.kulib.kyoto-u.ac.jp/item/rb00008736?page=807</v>
      </c>
      <c r="E2950" s="19"/>
      <c r="F2950" s="19"/>
      <c r="G2950" s="19"/>
    </row>
    <row r="2951" spans="1:7" x14ac:dyDescent="0.15">
      <c r="A2951" s="19" t="s">
        <v>8993</v>
      </c>
      <c r="B2951" s="19" t="s">
        <v>9254</v>
      </c>
      <c r="C2951" s="19">
        <v>808</v>
      </c>
      <c r="D2951" s="22" t="str">
        <f>HYPERLINK("https://rmda.kulib.kyoto-u.ac.jp/item/rb00008736?page=808")</f>
        <v>https://rmda.kulib.kyoto-u.ac.jp/item/rb00008736?page=808</v>
      </c>
      <c r="E2951" s="19"/>
      <c r="F2951" s="19"/>
      <c r="G2951" s="19"/>
    </row>
    <row r="2952" spans="1:7" x14ac:dyDescent="0.15">
      <c r="A2952" s="19" t="s">
        <v>8993</v>
      </c>
      <c r="B2952" s="19" t="s">
        <v>9255</v>
      </c>
      <c r="C2952" s="19">
        <v>809</v>
      </c>
      <c r="D2952" s="22" t="str">
        <f>HYPERLINK("https://rmda.kulib.kyoto-u.ac.jp/item/rb00008736?page=809")</f>
        <v>https://rmda.kulib.kyoto-u.ac.jp/item/rb00008736?page=809</v>
      </c>
      <c r="E2952" s="19"/>
      <c r="F2952" s="19"/>
      <c r="G2952" s="19"/>
    </row>
    <row r="2953" spans="1:7" x14ac:dyDescent="0.15">
      <c r="A2953" s="19" t="s">
        <v>8993</v>
      </c>
      <c r="B2953" s="19" t="s">
        <v>9256</v>
      </c>
      <c r="C2953" s="19">
        <v>809</v>
      </c>
      <c r="D2953" s="22" t="str">
        <f>HYPERLINK("https://rmda.kulib.kyoto-u.ac.jp/item/rb00008736?page=809")</f>
        <v>https://rmda.kulib.kyoto-u.ac.jp/item/rb00008736?page=809</v>
      </c>
      <c r="E2953" s="19"/>
      <c r="F2953" s="19"/>
      <c r="G2953" s="19"/>
    </row>
    <row r="2954" spans="1:7" x14ac:dyDescent="0.15">
      <c r="A2954" s="19" t="s">
        <v>8993</v>
      </c>
      <c r="B2954" s="19" t="s">
        <v>9257</v>
      </c>
      <c r="C2954" s="19">
        <v>814</v>
      </c>
      <c r="D2954" s="22" t="str">
        <f>HYPERLINK("https://rmda.kulib.kyoto-u.ac.jp/item/rb00008736?page=814")</f>
        <v>https://rmda.kulib.kyoto-u.ac.jp/item/rb00008736?page=814</v>
      </c>
      <c r="E2954" s="19"/>
      <c r="F2954" s="19"/>
      <c r="G2954" s="19"/>
    </row>
    <row r="2955" spans="1:7" x14ac:dyDescent="0.15">
      <c r="A2955" s="19" t="s">
        <v>8993</v>
      </c>
      <c r="B2955" s="19" t="s">
        <v>9258</v>
      </c>
      <c r="C2955" s="19">
        <v>816</v>
      </c>
      <c r="D2955" s="22" t="str">
        <f>HYPERLINK("https://rmda.kulib.kyoto-u.ac.jp/item/rb00008736?page=816")</f>
        <v>https://rmda.kulib.kyoto-u.ac.jp/item/rb00008736?page=816</v>
      </c>
      <c r="E2955" s="19"/>
      <c r="F2955" s="19"/>
      <c r="G2955" s="19"/>
    </row>
    <row r="2956" spans="1:7" x14ac:dyDescent="0.15">
      <c r="A2956" s="19" t="s">
        <v>8993</v>
      </c>
      <c r="B2956" s="19" t="s">
        <v>9259</v>
      </c>
      <c r="C2956" s="19">
        <v>816</v>
      </c>
      <c r="D2956" s="22" t="str">
        <f>HYPERLINK("https://rmda.kulib.kyoto-u.ac.jp/item/rb00008736?page=816")</f>
        <v>https://rmda.kulib.kyoto-u.ac.jp/item/rb00008736?page=816</v>
      </c>
      <c r="E2956" s="19"/>
      <c r="F2956" s="19"/>
      <c r="G2956" s="19"/>
    </row>
    <row r="2957" spans="1:7" x14ac:dyDescent="0.15">
      <c r="A2957" s="19" t="s">
        <v>8993</v>
      </c>
      <c r="B2957" s="19" t="s">
        <v>9260</v>
      </c>
      <c r="C2957" s="19">
        <v>816</v>
      </c>
      <c r="D2957" s="22" t="str">
        <f>HYPERLINK("https://rmda.kulib.kyoto-u.ac.jp/item/rb00008736?page=816")</f>
        <v>https://rmda.kulib.kyoto-u.ac.jp/item/rb00008736?page=816</v>
      </c>
      <c r="E2957" s="19"/>
      <c r="F2957" s="19"/>
      <c r="G2957" s="19"/>
    </row>
    <row r="2958" spans="1:7" x14ac:dyDescent="0.15">
      <c r="A2958" s="19" t="s">
        <v>8993</v>
      </c>
      <c r="B2958" s="19" t="s">
        <v>9261</v>
      </c>
      <c r="C2958" s="19">
        <v>817</v>
      </c>
      <c r="D2958" s="22" t="str">
        <f>HYPERLINK("https://rmda.kulib.kyoto-u.ac.jp/item/rb00008736?page=817")</f>
        <v>https://rmda.kulib.kyoto-u.ac.jp/item/rb00008736?page=817</v>
      </c>
      <c r="E2958" s="19"/>
      <c r="F2958" s="19"/>
      <c r="G2958" s="19"/>
    </row>
    <row r="2959" spans="1:7" x14ac:dyDescent="0.15">
      <c r="A2959" s="19" t="s">
        <v>8993</v>
      </c>
      <c r="B2959" s="19" t="s">
        <v>9262</v>
      </c>
      <c r="C2959" s="19">
        <v>818</v>
      </c>
      <c r="D2959" s="22" t="str">
        <f>HYPERLINK("https://rmda.kulib.kyoto-u.ac.jp/item/rb00008736?page=818")</f>
        <v>https://rmda.kulib.kyoto-u.ac.jp/item/rb00008736?page=818</v>
      </c>
      <c r="E2959" s="19"/>
      <c r="F2959" s="19"/>
      <c r="G2959" s="19"/>
    </row>
    <row r="2960" spans="1:7" x14ac:dyDescent="0.15">
      <c r="A2960" s="19" t="s">
        <v>8993</v>
      </c>
      <c r="B2960" s="19" t="s">
        <v>9263</v>
      </c>
      <c r="C2960" s="19">
        <v>819</v>
      </c>
      <c r="D2960" s="22" t="str">
        <f>HYPERLINK("https://rmda.kulib.kyoto-u.ac.jp/item/rb00008736?page=819")</f>
        <v>https://rmda.kulib.kyoto-u.ac.jp/item/rb00008736?page=819</v>
      </c>
      <c r="E2960" s="19"/>
      <c r="F2960" s="19"/>
      <c r="G2960" s="19"/>
    </row>
    <row r="2961" spans="1:7" x14ac:dyDescent="0.15">
      <c r="A2961" s="19" t="s">
        <v>8993</v>
      </c>
      <c r="B2961" s="19" t="s">
        <v>9264</v>
      </c>
      <c r="C2961" s="19">
        <v>820</v>
      </c>
      <c r="D2961" s="22" t="str">
        <f>HYPERLINK("https://rmda.kulib.kyoto-u.ac.jp/item/rb00008736?page=820")</f>
        <v>https://rmda.kulib.kyoto-u.ac.jp/item/rb00008736?page=820</v>
      </c>
      <c r="E2961" s="19"/>
      <c r="F2961" s="19"/>
      <c r="G2961" s="19"/>
    </row>
    <row r="2962" spans="1:7" x14ac:dyDescent="0.15">
      <c r="A2962" s="19" t="s">
        <v>8993</v>
      </c>
      <c r="B2962" s="19" t="s">
        <v>9265</v>
      </c>
      <c r="C2962" s="19">
        <v>822</v>
      </c>
      <c r="D2962" s="22" t="str">
        <f>HYPERLINK("https://rmda.kulib.kyoto-u.ac.jp/item/rb00008736?page=822")</f>
        <v>https://rmda.kulib.kyoto-u.ac.jp/item/rb00008736?page=822</v>
      </c>
      <c r="E2962" s="19"/>
      <c r="F2962" s="19"/>
      <c r="G2962" s="19"/>
    </row>
    <row r="2963" spans="1:7" x14ac:dyDescent="0.15">
      <c r="A2963" s="19" t="s">
        <v>8993</v>
      </c>
      <c r="B2963" s="19" t="s">
        <v>9266</v>
      </c>
      <c r="C2963" s="19">
        <v>822</v>
      </c>
      <c r="D2963" s="22" t="str">
        <f>HYPERLINK("https://rmda.kulib.kyoto-u.ac.jp/item/rb00008736?page=822")</f>
        <v>https://rmda.kulib.kyoto-u.ac.jp/item/rb00008736?page=822</v>
      </c>
      <c r="E2963" s="19"/>
      <c r="F2963" s="19"/>
      <c r="G2963" s="19"/>
    </row>
    <row r="2964" spans="1:7" x14ac:dyDescent="0.15">
      <c r="A2964" s="19" t="s">
        <v>8993</v>
      </c>
      <c r="B2964" s="19" t="s">
        <v>9267</v>
      </c>
      <c r="C2964" s="19">
        <v>823</v>
      </c>
      <c r="D2964" s="22" t="str">
        <f>HYPERLINK("https://rmda.kulib.kyoto-u.ac.jp/item/rb00008736?page=823")</f>
        <v>https://rmda.kulib.kyoto-u.ac.jp/item/rb00008736?page=823</v>
      </c>
      <c r="E2964" s="19"/>
      <c r="F2964" s="19"/>
      <c r="G2964" s="19"/>
    </row>
    <row r="2965" spans="1:7" x14ac:dyDescent="0.15">
      <c r="A2965" s="19" t="s">
        <v>8993</v>
      </c>
      <c r="B2965" s="19" t="s">
        <v>9268</v>
      </c>
      <c r="C2965" s="19">
        <v>825</v>
      </c>
      <c r="D2965" s="22" t="str">
        <f>HYPERLINK("https://rmda.kulib.kyoto-u.ac.jp/item/rb00008736?page=825")</f>
        <v>https://rmda.kulib.kyoto-u.ac.jp/item/rb00008736?page=825</v>
      </c>
      <c r="E2965" s="19"/>
      <c r="F2965" s="19"/>
      <c r="G2965" s="19"/>
    </row>
    <row r="2966" spans="1:7" x14ac:dyDescent="0.15">
      <c r="A2966" s="19" t="s">
        <v>8993</v>
      </c>
      <c r="B2966" s="19" t="s">
        <v>9269</v>
      </c>
      <c r="C2966" s="19">
        <v>830</v>
      </c>
      <c r="D2966" s="22" t="str">
        <f>HYPERLINK("https://rmda.kulib.kyoto-u.ac.jp/item/rb00008736?page=830")</f>
        <v>https://rmda.kulib.kyoto-u.ac.jp/item/rb00008736?page=830</v>
      </c>
      <c r="E2966" s="19"/>
      <c r="F2966" s="19"/>
      <c r="G2966" s="19"/>
    </row>
    <row r="2967" spans="1:7" x14ac:dyDescent="0.15">
      <c r="A2967" s="19" t="s">
        <v>8993</v>
      </c>
      <c r="B2967" s="19" t="s">
        <v>9270</v>
      </c>
      <c r="C2967" s="19">
        <v>835</v>
      </c>
      <c r="D2967" s="22" t="str">
        <f>HYPERLINK("https://rmda.kulib.kyoto-u.ac.jp/item/rb00008736?page=835")</f>
        <v>https://rmda.kulib.kyoto-u.ac.jp/item/rb00008736?page=835</v>
      </c>
      <c r="E2967" s="19"/>
      <c r="F2967" s="19"/>
      <c r="G2967" s="19"/>
    </row>
    <row r="2968" spans="1:7" x14ac:dyDescent="0.15">
      <c r="A2968" s="19" t="s">
        <v>8993</v>
      </c>
      <c r="B2968" s="19" t="s">
        <v>9271</v>
      </c>
      <c r="C2968" s="19">
        <v>836</v>
      </c>
      <c r="D2968" s="22" t="str">
        <f>HYPERLINK("https://rmda.kulib.kyoto-u.ac.jp/item/rb00008736?page=836")</f>
        <v>https://rmda.kulib.kyoto-u.ac.jp/item/rb00008736?page=836</v>
      </c>
      <c r="E2968" s="19"/>
      <c r="F2968" s="19"/>
      <c r="G2968" s="19"/>
    </row>
    <row r="2969" spans="1:7" x14ac:dyDescent="0.15">
      <c r="A2969" s="19" t="s">
        <v>8993</v>
      </c>
      <c r="B2969" s="19" t="s">
        <v>9272</v>
      </c>
      <c r="C2969" s="19">
        <v>838</v>
      </c>
      <c r="D2969" s="22" t="str">
        <f>HYPERLINK("https://rmda.kulib.kyoto-u.ac.jp/item/rb00008736?page=838")</f>
        <v>https://rmda.kulib.kyoto-u.ac.jp/item/rb00008736?page=838</v>
      </c>
      <c r="E2969" s="19"/>
      <c r="F2969" s="19"/>
      <c r="G2969" s="19"/>
    </row>
    <row r="2970" spans="1:7" x14ac:dyDescent="0.15">
      <c r="A2970" s="19" t="s">
        <v>8993</v>
      </c>
      <c r="B2970" s="19" t="s">
        <v>9273</v>
      </c>
      <c r="C2970" s="19">
        <v>863</v>
      </c>
      <c r="D2970" s="22" t="str">
        <f>HYPERLINK("https://rmda.kulib.kyoto-u.ac.jp/item/rb00008736?page=863")</f>
        <v>https://rmda.kulib.kyoto-u.ac.jp/item/rb00008736?page=863</v>
      </c>
      <c r="E2970" s="19"/>
      <c r="F2970" s="19"/>
      <c r="G2970" s="19"/>
    </row>
    <row r="2971" spans="1:7" x14ac:dyDescent="0.15">
      <c r="A2971" s="19" t="s">
        <v>8993</v>
      </c>
      <c r="B2971" s="36" t="s">
        <v>9274</v>
      </c>
      <c r="C2971" s="19">
        <v>867</v>
      </c>
      <c r="D2971" s="22" t="str">
        <f>HYPERLINK("https://rmda.kulib.kyoto-u.ac.jp/item/rb00008736?page=867")</f>
        <v>https://rmda.kulib.kyoto-u.ac.jp/item/rb00008736?page=867</v>
      </c>
      <c r="E2971" s="19"/>
      <c r="F2971" s="19"/>
      <c r="G2971" s="19"/>
    </row>
    <row r="2972" spans="1:7" x14ac:dyDescent="0.15">
      <c r="A2972" s="19" t="s">
        <v>8993</v>
      </c>
      <c r="B2972" s="36" t="s">
        <v>9275</v>
      </c>
      <c r="C2972" s="19">
        <v>867</v>
      </c>
      <c r="D2972" s="22" t="str">
        <f>HYPERLINK("https://rmda.kulib.kyoto-u.ac.jp/item/rb00008736?page=867")</f>
        <v>https://rmda.kulib.kyoto-u.ac.jp/item/rb00008736?page=867</v>
      </c>
      <c r="E2972" s="19"/>
      <c r="F2972" s="19"/>
      <c r="G2972" s="19"/>
    </row>
    <row r="2973" spans="1:7" x14ac:dyDescent="0.15">
      <c r="A2973" s="19" t="s">
        <v>8993</v>
      </c>
      <c r="B2973" s="19" t="s">
        <v>9276</v>
      </c>
      <c r="C2973" s="19">
        <v>867</v>
      </c>
      <c r="D2973" s="22" t="str">
        <f>HYPERLINK("https://rmda.kulib.kyoto-u.ac.jp/item/rb00008736?page=867")</f>
        <v>https://rmda.kulib.kyoto-u.ac.jp/item/rb00008736?page=867</v>
      </c>
      <c r="E2973" s="19"/>
      <c r="F2973" s="19"/>
      <c r="G2973" s="19"/>
    </row>
    <row r="2974" spans="1:7" x14ac:dyDescent="0.15">
      <c r="A2974" s="19" t="s">
        <v>8993</v>
      </c>
      <c r="B2974" s="19" t="s">
        <v>9277</v>
      </c>
      <c r="C2974" s="19">
        <v>875</v>
      </c>
      <c r="D2974" s="22" t="str">
        <f>HYPERLINK("https://rmda.kulib.kyoto-u.ac.jp/item/rb00008736?page=875")</f>
        <v>https://rmda.kulib.kyoto-u.ac.jp/item/rb00008736?page=875</v>
      </c>
      <c r="E2974" s="19"/>
      <c r="F2974" s="19"/>
      <c r="G2974" s="19"/>
    </row>
    <row r="2975" spans="1:7" x14ac:dyDescent="0.15">
      <c r="A2975" s="19" t="s">
        <v>8993</v>
      </c>
      <c r="B2975" s="19" t="s">
        <v>9278</v>
      </c>
      <c r="C2975" s="19">
        <v>875</v>
      </c>
      <c r="D2975" s="22" t="str">
        <f>HYPERLINK("https://rmda.kulib.kyoto-u.ac.jp/item/rb00008736?page=875")</f>
        <v>https://rmda.kulib.kyoto-u.ac.jp/item/rb00008736?page=875</v>
      </c>
      <c r="E2975" s="19"/>
      <c r="F2975" s="19"/>
      <c r="G2975" s="19"/>
    </row>
    <row r="2976" spans="1:7" x14ac:dyDescent="0.15">
      <c r="A2976" s="19" t="s">
        <v>8993</v>
      </c>
      <c r="B2976" s="19" t="s">
        <v>9279</v>
      </c>
      <c r="C2976" s="19">
        <v>880</v>
      </c>
      <c r="D2976" s="22" t="str">
        <f>HYPERLINK("https://rmda.kulib.kyoto-u.ac.jp/item/rb00008736?page=880")</f>
        <v>https://rmda.kulib.kyoto-u.ac.jp/item/rb00008736?page=880</v>
      </c>
      <c r="E2976" s="19"/>
      <c r="F2976" s="19"/>
      <c r="G2976" s="19"/>
    </row>
    <row r="2977" spans="1:7" x14ac:dyDescent="0.15">
      <c r="A2977" s="19" t="s">
        <v>8993</v>
      </c>
      <c r="B2977" s="19" t="s">
        <v>9280</v>
      </c>
      <c r="C2977" s="19">
        <v>882</v>
      </c>
      <c r="D2977" s="22" t="str">
        <f>HYPERLINK("https://rmda.kulib.kyoto-u.ac.jp/item/rb00008736?page=882")</f>
        <v>https://rmda.kulib.kyoto-u.ac.jp/item/rb00008736?page=882</v>
      </c>
      <c r="E2977" s="19"/>
      <c r="F2977" s="19"/>
      <c r="G2977" s="19"/>
    </row>
    <row r="2978" spans="1:7" x14ac:dyDescent="0.15">
      <c r="A2978" s="19" t="s">
        <v>8993</v>
      </c>
      <c r="B2978" s="19" t="s">
        <v>9281</v>
      </c>
      <c r="C2978" s="19">
        <v>885</v>
      </c>
      <c r="D2978" s="22" t="str">
        <f>HYPERLINK("https://rmda.kulib.kyoto-u.ac.jp/item/rb00008736?page=885")</f>
        <v>https://rmda.kulib.kyoto-u.ac.jp/item/rb00008736?page=885</v>
      </c>
      <c r="E2978" s="19"/>
      <c r="F2978" s="19"/>
      <c r="G2978" s="19"/>
    </row>
    <row r="2979" spans="1:7" x14ac:dyDescent="0.15">
      <c r="A2979" s="19" t="s">
        <v>8993</v>
      </c>
      <c r="B2979" s="19" t="s">
        <v>9282</v>
      </c>
      <c r="C2979" s="19">
        <v>887</v>
      </c>
      <c r="D2979" s="22" t="str">
        <f>HYPERLINK("https://rmda.kulib.kyoto-u.ac.jp/item/rb00008736?page=887")</f>
        <v>https://rmda.kulib.kyoto-u.ac.jp/item/rb00008736?page=887</v>
      </c>
      <c r="E2979" s="19"/>
      <c r="F2979" s="19"/>
      <c r="G2979" s="19"/>
    </row>
    <row r="2980" spans="1:7" x14ac:dyDescent="0.15">
      <c r="A2980" s="19" t="s">
        <v>8993</v>
      </c>
      <c r="B2980" s="19" t="s">
        <v>9283</v>
      </c>
      <c r="C2980" s="19">
        <v>893</v>
      </c>
      <c r="D2980" s="22" t="str">
        <f>HYPERLINK("https://rmda.kulib.kyoto-u.ac.jp/item/rb00008736?page=893")</f>
        <v>https://rmda.kulib.kyoto-u.ac.jp/item/rb00008736?page=893</v>
      </c>
      <c r="E2980" s="19"/>
      <c r="F2980" s="19"/>
      <c r="G2980" s="19"/>
    </row>
    <row r="2981" spans="1:7" x14ac:dyDescent="0.15">
      <c r="A2981" s="19" t="s">
        <v>8993</v>
      </c>
      <c r="B2981" s="19" t="s">
        <v>9284</v>
      </c>
      <c r="C2981" s="19">
        <v>896</v>
      </c>
      <c r="D2981" s="22" t="str">
        <f>HYPERLINK("https://rmda.kulib.kyoto-u.ac.jp/item/rb00008736?page=896")</f>
        <v>https://rmda.kulib.kyoto-u.ac.jp/item/rb00008736?page=896</v>
      </c>
      <c r="E2981" s="19"/>
      <c r="F2981" s="19"/>
      <c r="G2981" s="19"/>
    </row>
    <row r="2982" spans="1:7" x14ac:dyDescent="0.15">
      <c r="A2982" s="19" t="s">
        <v>8993</v>
      </c>
      <c r="B2982" s="36" t="s">
        <v>9285</v>
      </c>
      <c r="C2982" s="19">
        <v>910</v>
      </c>
      <c r="D2982" s="22" t="str">
        <f>HYPERLINK("https://rmda.kulib.kyoto-u.ac.jp/item/rb00008736?page=910")</f>
        <v>https://rmda.kulib.kyoto-u.ac.jp/item/rb00008736?page=910</v>
      </c>
      <c r="E2982" s="19"/>
      <c r="F2982" s="19"/>
      <c r="G2982" s="19"/>
    </row>
    <row r="2983" spans="1:7" x14ac:dyDescent="0.15">
      <c r="A2983" s="19" t="s">
        <v>8993</v>
      </c>
      <c r="B2983" s="19" t="s">
        <v>9286</v>
      </c>
      <c r="C2983" s="19">
        <v>910</v>
      </c>
      <c r="D2983" s="22" t="str">
        <f>HYPERLINK("https://rmda.kulib.kyoto-u.ac.jp/item/rb00008736?page=910")</f>
        <v>https://rmda.kulib.kyoto-u.ac.jp/item/rb00008736?page=910</v>
      </c>
      <c r="E2983" s="19"/>
      <c r="F2983" s="19"/>
      <c r="G2983" s="19"/>
    </row>
    <row r="2984" spans="1:7" x14ac:dyDescent="0.15">
      <c r="A2984" s="19" t="s">
        <v>8993</v>
      </c>
      <c r="B2984" s="36" t="s">
        <v>9287</v>
      </c>
      <c r="C2984" s="19">
        <v>1013</v>
      </c>
      <c r="D2984" s="22" t="str">
        <f>HYPERLINK("https://rmda.kulib.kyoto-u.ac.jp/item/rb00008736?page=1013")</f>
        <v>https://rmda.kulib.kyoto-u.ac.jp/item/rb00008736?page=1013</v>
      </c>
      <c r="E2984" s="19"/>
      <c r="F2984" s="19"/>
      <c r="G2984" s="19"/>
    </row>
    <row r="2985" spans="1:7" x14ac:dyDescent="0.15">
      <c r="A2985" s="19" t="s">
        <v>8993</v>
      </c>
      <c r="B2985" s="19" t="s">
        <v>9288</v>
      </c>
      <c r="C2985" s="19">
        <v>1013</v>
      </c>
      <c r="D2985" s="22" t="str">
        <f>HYPERLINK("https://rmda.kulib.kyoto-u.ac.jp/item/rb00008736?page=1013")</f>
        <v>https://rmda.kulib.kyoto-u.ac.jp/item/rb00008736?page=1013</v>
      </c>
      <c r="E2985" s="19"/>
      <c r="F2985" s="19"/>
      <c r="G2985" s="19"/>
    </row>
    <row r="2986" spans="1:7" x14ac:dyDescent="0.15">
      <c r="A2986" s="19" t="s">
        <v>8993</v>
      </c>
      <c r="B2986" s="19" t="s">
        <v>9289</v>
      </c>
      <c r="C2986" s="19">
        <v>1068</v>
      </c>
      <c r="D2986" s="22" t="str">
        <f>HYPERLINK("https://rmda.kulib.kyoto-u.ac.jp/item/rb00008736?page=1068")</f>
        <v>https://rmda.kulib.kyoto-u.ac.jp/item/rb00008736?page=1068</v>
      </c>
      <c r="E2986" s="19"/>
      <c r="F2986" s="19"/>
      <c r="G2986" s="19"/>
    </row>
    <row r="2987" spans="1:7" x14ac:dyDescent="0.15">
      <c r="A2987" s="19" t="s">
        <v>8993</v>
      </c>
      <c r="B2987" s="19" t="s">
        <v>9290</v>
      </c>
      <c r="C2987" s="19">
        <v>1073</v>
      </c>
      <c r="D2987" s="22" t="str">
        <f>HYPERLINK("https://rmda.kulib.kyoto-u.ac.jp/item/rb00008736?page=1073")</f>
        <v>https://rmda.kulib.kyoto-u.ac.jp/item/rb00008736?page=1073</v>
      </c>
      <c r="E2987" s="19"/>
      <c r="F2987" s="19"/>
      <c r="G2987" s="19"/>
    </row>
    <row r="2988" spans="1:7" x14ac:dyDescent="0.15">
      <c r="A2988" s="19" t="s">
        <v>8993</v>
      </c>
      <c r="B2988" s="19" t="s">
        <v>9291</v>
      </c>
      <c r="C2988" s="19">
        <v>1074</v>
      </c>
      <c r="D2988" s="22" t="str">
        <f>HYPERLINK("https://rmda.kulib.kyoto-u.ac.jp/item/rb00008736?page=1074")</f>
        <v>https://rmda.kulib.kyoto-u.ac.jp/item/rb00008736?page=1074</v>
      </c>
      <c r="E2988" s="19"/>
      <c r="F2988" s="19"/>
      <c r="G2988" s="19"/>
    </row>
    <row r="2989" spans="1:7" x14ac:dyDescent="0.15">
      <c r="A2989" s="19" t="s">
        <v>8993</v>
      </c>
      <c r="B2989" s="19" t="s">
        <v>9292</v>
      </c>
      <c r="C2989" s="19">
        <v>1075</v>
      </c>
      <c r="D2989" s="22" t="str">
        <f>HYPERLINK("https://rmda.kulib.kyoto-u.ac.jp/item/rb00008736?page=1075")</f>
        <v>https://rmda.kulib.kyoto-u.ac.jp/item/rb00008736?page=1075</v>
      </c>
      <c r="E2989" s="19"/>
      <c r="F2989" s="19"/>
      <c r="G2989" s="19"/>
    </row>
    <row r="2990" spans="1:7" x14ac:dyDescent="0.15">
      <c r="A2990" s="19" t="s">
        <v>8993</v>
      </c>
      <c r="B2990" s="19" t="s">
        <v>9293</v>
      </c>
      <c r="C2990" s="19">
        <v>1076</v>
      </c>
      <c r="D2990" s="22" t="str">
        <f>HYPERLINK("https://rmda.kulib.kyoto-u.ac.jp/item/rb00008736?page=1076")</f>
        <v>https://rmda.kulib.kyoto-u.ac.jp/item/rb00008736?page=1076</v>
      </c>
      <c r="E2990" s="19"/>
      <c r="F2990" s="19"/>
      <c r="G2990" s="19"/>
    </row>
    <row r="2991" spans="1:7" x14ac:dyDescent="0.15">
      <c r="A2991" s="19" t="s">
        <v>8993</v>
      </c>
      <c r="B2991" s="19" t="s">
        <v>9294</v>
      </c>
      <c r="C2991" s="19">
        <v>1080</v>
      </c>
      <c r="D2991" s="22" t="str">
        <f>HYPERLINK("https://rmda.kulib.kyoto-u.ac.jp/item/rb00008736?page=1080")</f>
        <v>https://rmda.kulib.kyoto-u.ac.jp/item/rb00008736?page=1080</v>
      </c>
      <c r="E2991" s="19"/>
      <c r="F2991" s="19"/>
      <c r="G2991" s="19"/>
    </row>
    <row r="2992" spans="1:7" x14ac:dyDescent="0.15">
      <c r="A2992" s="19" t="s">
        <v>8993</v>
      </c>
      <c r="B2992" s="19" t="s">
        <v>9295</v>
      </c>
      <c r="C2992" s="19">
        <v>1080</v>
      </c>
      <c r="D2992" s="22" t="str">
        <f>HYPERLINK("https://rmda.kulib.kyoto-u.ac.jp/item/rb00008736?page=1080")</f>
        <v>https://rmda.kulib.kyoto-u.ac.jp/item/rb00008736?page=1080</v>
      </c>
      <c r="E2992" s="19"/>
      <c r="F2992" s="19"/>
      <c r="G2992" s="19"/>
    </row>
    <row r="2993" spans="1:7" x14ac:dyDescent="0.15">
      <c r="A2993" s="19" t="s">
        <v>8993</v>
      </c>
      <c r="B2993" s="19" t="s">
        <v>9296</v>
      </c>
      <c r="C2993" s="19">
        <v>1129</v>
      </c>
      <c r="D2993" s="22" t="str">
        <f>HYPERLINK("https://rmda.kulib.kyoto-u.ac.jp/item/rb00008736?page=1129")</f>
        <v>https://rmda.kulib.kyoto-u.ac.jp/item/rb00008736?page=1129</v>
      </c>
      <c r="E2993" s="19"/>
      <c r="F2993" s="19"/>
      <c r="G2993" s="19"/>
    </row>
    <row r="2994" spans="1:7" x14ac:dyDescent="0.15">
      <c r="A2994" s="19" t="s">
        <v>8993</v>
      </c>
      <c r="B2994" s="19" t="s">
        <v>9297</v>
      </c>
      <c r="C2994" s="19">
        <v>1134</v>
      </c>
      <c r="D2994" s="22" t="str">
        <f>HYPERLINK("https://rmda.kulib.kyoto-u.ac.jp/item/rb00008736?page=1134")</f>
        <v>https://rmda.kulib.kyoto-u.ac.jp/item/rb00008736?page=1134</v>
      </c>
      <c r="E2994" s="19"/>
      <c r="F2994" s="19"/>
      <c r="G2994" s="19"/>
    </row>
    <row r="2995" spans="1:7" x14ac:dyDescent="0.15">
      <c r="A2995" s="19" t="s">
        <v>8993</v>
      </c>
      <c r="B2995" s="19" t="s">
        <v>9298</v>
      </c>
      <c r="C2995" s="19">
        <v>1139</v>
      </c>
      <c r="D2995" s="22" t="str">
        <f>HYPERLINK("https://rmda.kulib.kyoto-u.ac.jp/item/rb00008736?page=1139")</f>
        <v>https://rmda.kulib.kyoto-u.ac.jp/item/rb00008736?page=1139</v>
      </c>
      <c r="E2995" s="19"/>
      <c r="F2995" s="19"/>
      <c r="G2995" s="19"/>
    </row>
    <row r="2996" spans="1:7" x14ac:dyDescent="0.15">
      <c r="A2996" s="19" t="s">
        <v>8993</v>
      </c>
      <c r="B2996" s="19" t="s">
        <v>9299</v>
      </c>
      <c r="C2996" s="19">
        <v>1140</v>
      </c>
      <c r="D2996" s="22" t="str">
        <f>HYPERLINK("https://rmda.kulib.kyoto-u.ac.jp/item/rb00008736?page=1140")</f>
        <v>https://rmda.kulib.kyoto-u.ac.jp/item/rb00008736?page=1140</v>
      </c>
      <c r="E2996" s="19"/>
      <c r="F2996" s="19"/>
      <c r="G2996" s="19"/>
    </row>
    <row r="2997" spans="1:7" x14ac:dyDescent="0.15">
      <c r="A2997" s="19" t="s">
        <v>8993</v>
      </c>
      <c r="B2997" s="19" t="s">
        <v>9300</v>
      </c>
      <c r="C2997" s="19">
        <v>1141</v>
      </c>
      <c r="D2997" s="22" t="str">
        <f>HYPERLINK("https://rmda.kulib.kyoto-u.ac.jp/item/rb00008736?page=1141")</f>
        <v>https://rmda.kulib.kyoto-u.ac.jp/item/rb00008736?page=1141</v>
      </c>
      <c r="E2997" s="19"/>
      <c r="F2997" s="19"/>
      <c r="G2997" s="19"/>
    </row>
    <row r="2998" spans="1:7" x14ac:dyDescent="0.15">
      <c r="A2998" s="19" t="s">
        <v>8993</v>
      </c>
      <c r="B2998" s="19" t="s">
        <v>9301</v>
      </c>
      <c r="C2998" s="19">
        <v>1142</v>
      </c>
      <c r="D2998" s="22" t="str">
        <f>HYPERLINK("https://rmda.kulib.kyoto-u.ac.jp/item/rb00008736?page=1142")</f>
        <v>https://rmda.kulib.kyoto-u.ac.jp/item/rb00008736?page=1142</v>
      </c>
      <c r="E2998" s="19"/>
      <c r="F2998" s="19"/>
      <c r="G2998" s="19"/>
    </row>
    <row r="2999" spans="1:7" x14ac:dyDescent="0.15">
      <c r="A2999" s="19" t="s">
        <v>8993</v>
      </c>
      <c r="B2999" s="19" t="s">
        <v>9302</v>
      </c>
      <c r="C2999" s="19">
        <v>1144</v>
      </c>
      <c r="D2999" s="22" t="str">
        <f>HYPERLINK("https://rmda.kulib.kyoto-u.ac.jp/item/rb00008736?page=1144")</f>
        <v>https://rmda.kulib.kyoto-u.ac.jp/item/rb00008736?page=1144</v>
      </c>
      <c r="E2999" s="19"/>
      <c r="F2999" s="19"/>
      <c r="G2999" s="19"/>
    </row>
    <row r="3000" spans="1:7" x14ac:dyDescent="0.15">
      <c r="A3000" s="19" t="s">
        <v>8993</v>
      </c>
      <c r="B3000" s="19" t="s">
        <v>9303</v>
      </c>
      <c r="C3000" s="19">
        <v>1149</v>
      </c>
      <c r="D3000" s="22" t="str">
        <f>HYPERLINK("https://rmda.kulib.kyoto-u.ac.jp/item/rb00008736?page=1149")</f>
        <v>https://rmda.kulib.kyoto-u.ac.jp/item/rb00008736?page=1149</v>
      </c>
      <c r="E3000" s="19"/>
      <c r="F3000" s="19"/>
      <c r="G3000" s="19"/>
    </row>
    <row r="3001" spans="1:7" x14ac:dyDescent="0.15">
      <c r="A3001" s="26" t="s">
        <v>9304</v>
      </c>
      <c r="B3001" s="40" t="s">
        <v>9305</v>
      </c>
      <c r="C3001" s="19"/>
      <c r="D3001" s="18" t="s">
        <v>9306</v>
      </c>
      <c r="E3001" s="22"/>
      <c r="F3001" s="22"/>
      <c r="G3001" s="22"/>
    </row>
    <row r="3002" spans="1:7" x14ac:dyDescent="0.15">
      <c r="A3002" s="41" t="s">
        <v>9307</v>
      </c>
      <c r="B3002" s="25" t="s">
        <v>8517</v>
      </c>
      <c r="C3002" s="26" t="s">
        <v>9308</v>
      </c>
      <c r="D3002" s="42" t="str">
        <f>HYPERLINK("https://rmda.kulib.kyoto-u.ac.jp/item/rb00002938?page=4")</f>
        <v>https://rmda.kulib.kyoto-u.ac.jp/item/rb00002938?page=4</v>
      </c>
      <c r="E3002" s="22"/>
      <c r="F3002" s="22"/>
      <c r="G3002" s="22"/>
    </row>
    <row r="3003" spans="1:7" x14ac:dyDescent="0.15">
      <c r="A3003" s="41" t="s">
        <v>9307</v>
      </c>
      <c r="B3003" s="25" t="s">
        <v>9309</v>
      </c>
      <c r="C3003" s="26" t="s">
        <v>9310</v>
      </c>
      <c r="D3003" s="42" t="str">
        <f>HYPERLINK("https://rmda.kulib.kyoto-u.ac.jp/item/rb00002938?page=7")</f>
        <v>https://rmda.kulib.kyoto-u.ac.jp/item/rb00002938?page=7</v>
      </c>
      <c r="E3003" s="22"/>
      <c r="F3003" s="22"/>
      <c r="G3003" s="22"/>
    </row>
    <row r="3004" spans="1:7" x14ac:dyDescent="0.15">
      <c r="A3004" s="41" t="s">
        <v>9307</v>
      </c>
      <c r="B3004" s="25" t="s">
        <v>9311</v>
      </c>
      <c r="C3004" s="19" t="s">
        <v>9312</v>
      </c>
      <c r="D3004" s="42" t="str">
        <f>HYPERLINK("https://rmda.kulib.kyoto-u.ac.jp/item/rb00002938?page=13")</f>
        <v>https://rmda.kulib.kyoto-u.ac.jp/item/rb00002938?page=13</v>
      </c>
      <c r="E3004" s="22"/>
      <c r="F3004" s="22"/>
      <c r="G3004" s="22"/>
    </row>
    <row r="3005" spans="1:7" ht="18.75" x14ac:dyDescent="0.15">
      <c r="A3005" s="41" t="s">
        <v>9307</v>
      </c>
      <c r="B3005" s="25" t="s">
        <v>9313</v>
      </c>
      <c r="C3005" s="19" t="s">
        <v>9314</v>
      </c>
      <c r="D3005" s="42" t="str">
        <f>HYPERLINK("https://rmda.kulib.kyoto-u.ac.jp/item/rb00002938?page=14")</f>
        <v>https://rmda.kulib.kyoto-u.ac.jp/item/rb00002938?page=14</v>
      </c>
      <c r="E3005" s="22"/>
      <c r="F3005" s="22"/>
      <c r="G3005" s="22"/>
    </row>
    <row r="3006" spans="1:7" x14ac:dyDescent="0.15">
      <c r="A3006" s="41" t="s">
        <v>9307</v>
      </c>
      <c r="B3006" s="25" t="s">
        <v>9315</v>
      </c>
      <c r="C3006" s="19" t="s">
        <v>9316</v>
      </c>
      <c r="D3006" s="42" t="str">
        <f>HYPERLINK("https://rmda.kulib.kyoto-u.ac.jp/item/rb00002938?page=14")</f>
        <v>https://rmda.kulib.kyoto-u.ac.jp/item/rb00002938?page=14</v>
      </c>
      <c r="E3006" s="22"/>
      <c r="F3006" s="22"/>
      <c r="G3006" s="22"/>
    </row>
    <row r="3007" spans="1:7" x14ac:dyDescent="0.15">
      <c r="A3007" s="41" t="s">
        <v>9307</v>
      </c>
      <c r="B3007" s="25" t="s">
        <v>9317</v>
      </c>
      <c r="C3007" s="19" t="s">
        <v>9318</v>
      </c>
      <c r="D3007" s="42" t="str">
        <f>HYPERLINK("https://rmda.kulib.kyoto-u.ac.jp/item/rb00002938?page=14")</f>
        <v>https://rmda.kulib.kyoto-u.ac.jp/item/rb00002938?page=14</v>
      </c>
      <c r="E3007" s="22"/>
      <c r="F3007" s="22"/>
      <c r="G3007" s="22"/>
    </row>
    <row r="3008" spans="1:7" x14ac:dyDescent="0.15">
      <c r="A3008" s="41" t="s">
        <v>9307</v>
      </c>
      <c r="B3008" s="25" t="s">
        <v>9319</v>
      </c>
      <c r="C3008" s="19" t="s">
        <v>9320</v>
      </c>
      <c r="D3008" s="42" t="str">
        <f>HYPERLINK("https://rmda.kulib.kyoto-u.ac.jp/item/rb00002938?page=14")</f>
        <v>https://rmda.kulib.kyoto-u.ac.jp/item/rb00002938?page=14</v>
      </c>
      <c r="E3008" s="22"/>
      <c r="F3008" s="22"/>
      <c r="G3008" s="22"/>
    </row>
    <row r="3009" spans="1:7" x14ac:dyDescent="0.15">
      <c r="A3009" s="41" t="s">
        <v>9307</v>
      </c>
      <c r="B3009" s="25" t="s">
        <v>9321</v>
      </c>
      <c r="C3009" s="19" t="s">
        <v>9322</v>
      </c>
      <c r="D3009" s="42" t="str">
        <f t="shared" ref="D3009:D3015" si="218">HYPERLINK("https://rmda.kulib.kyoto-u.ac.jp/item/rb00002938?page=15")</f>
        <v>https://rmda.kulib.kyoto-u.ac.jp/item/rb00002938?page=15</v>
      </c>
      <c r="E3009" s="22"/>
      <c r="F3009" s="22"/>
      <c r="G3009" s="22"/>
    </row>
    <row r="3010" spans="1:7" x14ac:dyDescent="0.15">
      <c r="A3010" s="41" t="s">
        <v>9307</v>
      </c>
      <c r="B3010" s="25" t="s">
        <v>9323</v>
      </c>
      <c r="C3010" s="19" t="s">
        <v>9324</v>
      </c>
      <c r="D3010" s="42" t="str">
        <f t="shared" si="218"/>
        <v>https://rmda.kulib.kyoto-u.ac.jp/item/rb00002938?page=15</v>
      </c>
      <c r="E3010" s="22"/>
      <c r="F3010" s="22"/>
      <c r="G3010" s="22"/>
    </row>
    <row r="3011" spans="1:7" x14ac:dyDescent="0.15">
      <c r="A3011" s="41" t="s">
        <v>9307</v>
      </c>
      <c r="B3011" s="25" t="s">
        <v>9325</v>
      </c>
      <c r="C3011" s="19" t="s">
        <v>9326</v>
      </c>
      <c r="D3011" s="42" t="str">
        <f t="shared" si="218"/>
        <v>https://rmda.kulib.kyoto-u.ac.jp/item/rb00002938?page=15</v>
      </c>
      <c r="E3011" s="22"/>
      <c r="F3011" s="22"/>
      <c r="G3011" s="22"/>
    </row>
    <row r="3012" spans="1:7" x14ac:dyDescent="0.15">
      <c r="A3012" s="41" t="s">
        <v>9307</v>
      </c>
      <c r="B3012" s="25" t="s">
        <v>9327</v>
      </c>
      <c r="C3012" s="19" t="s">
        <v>9328</v>
      </c>
      <c r="D3012" s="42" t="str">
        <f t="shared" si="218"/>
        <v>https://rmda.kulib.kyoto-u.ac.jp/item/rb00002938?page=15</v>
      </c>
      <c r="E3012" s="22"/>
      <c r="F3012" s="22"/>
      <c r="G3012" s="22"/>
    </row>
    <row r="3013" spans="1:7" x14ac:dyDescent="0.15">
      <c r="A3013" s="41" t="s">
        <v>9307</v>
      </c>
      <c r="B3013" s="25" t="s">
        <v>9329</v>
      </c>
      <c r="C3013" s="19" t="s">
        <v>9330</v>
      </c>
      <c r="D3013" s="42" t="str">
        <f t="shared" si="218"/>
        <v>https://rmda.kulib.kyoto-u.ac.jp/item/rb00002938?page=15</v>
      </c>
      <c r="E3013" s="22"/>
      <c r="F3013" s="22"/>
      <c r="G3013" s="22"/>
    </row>
    <row r="3014" spans="1:7" x14ac:dyDescent="0.15">
      <c r="A3014" s="41" t="s">
        <v>9307</v>
      </c>
      <c r="B3014" s="25" t="s">
        <v>9331</v>
      </c>
      <c r="C3014" s="19" t="s">
        <v>9332</v>
      </c>
      <c r="D3014" s="42" t="str">
        <f t="shared" si="218"/>
        <v>https://rmda.kulib.kyoto-u.ac.jp/item/rb00002938?page=15</v>
      </c>
      <c r="E3014" s="22"/>
      <c r="F3014" s="22"/>
      <c r="G3014" s="22"/>
    </row>
    <row r="3015" spans="1:7" ht="18.75" x14ac:dyDescent="0.15">
      <c r="A3015" s="41" t="s">
        <v>9307</v>
      </c>
      <c r="B3015" s="25" t="s">
        <v>9333</v>
      </c>
      <c r="C3015" s="19" t="s">
        <v>9334</v>
      </c>
      <c r="D3015" s="42" t="str">
        <f t="shared" si="218"/>
        <v>https://rmda.kulib.kyoto-u.ac.jp/item/rb00002938?page=15</v>
      </c>
      <c r="E3015" s="22"/>
      <c r="F3015" s="22"/>
      <c r="G3015" s="22"/>
    </row>
    <row r="3016" spans="1:7" x14ac:dyDescent="0.15">
      <c r="A3016" s="41" t="s">
        <v>9307</v>
      </c>
      <c r="B3016" s="25" t="s">
        <v>9335</v>
      </c>
      <c r="C3016" s="19" t="s">
        <v>9336</v>
      </c>
      <c r="D3016" s="42" t="str">
        <f>HYPERLINK("https://rmda.kulib.kyoto-u.ac.jp/item/rb00002938?page=16")</f>
        <v>https://rmda.kulib.kyoto-u.ac.jp/item/rb00002938?page=16</v>
      </c>
      <c r="E3016" s="22"/>
      <c r="F3016" s="22"/>
      <c r="G3016" s="22"/>
    </row>
    <row r="3017" spans="1:7" x14ac:dyDescent="0.15">
      <c r="A3017" s="41" t="s">
        <v>9307</v>
      </c>
      <c r="B3017" s="25" t="s">
        <v>9337</v>
      </c>
      <c r="C3017" s="19" t="s">
        <v>9338</v>
      </c>
      <c r="D3017" s="42" t="str">
        <f>HYPERLINK("https://rmda.kulib.kyoto-u.ac.jp/item/rb00002938?page=16")</f>
        <v>https://rmda.kulib.kyoto-u.ac.jp/item/rb00002938?page=16</v>
      </c>
      <c r="E3017" s="22"/>
      <c r="F3017" s="22"/>
      <c r="G3017" s="22"/>
    </row>
    <row r="3018" spans="1:7" x14ac:dyDescent="0.15">
      <c r="A3018" s="41" t="s">
        <v>9307</v>
      </c>
      <c r="B3018" s="25" t="s">
        <v>9339</v>
      </c>
      <c r="C3018" s="19" t="s">
        <v>9340</v>
      </c>
      <c r="D3018" s="42" t="str">
        <f>HYPERLINK("https://rmda.kulib.kyoto-u.ac.jp/item/rb00002938?page=17")</f>
        <v>https://rmda.kulib.kyoto-u.ac.jp/item/rb00002938?page=17</v>
      </c>
      <c r="E3018" s="22"/>
      <c r="F3018" s="22"/>
      <c r="G3018" s="22"/>
    </row>
    <row r="3019" spans="1:7" x14ac:dyDescent="0.15">
      <c r="A3019" s="41" t="s">
        <v>9307</v>
      </c>
      <c r="B3019" s="25" t="s">
        <v>9341</v>
      </c>
      <c r="C3019" s="19" t="s">
        <v>9342</v>
      </c>
      <c r="D3019" s="42" t="str">
        <f>HYPERLINK("https://rmda.kulib.kyoto-u.ac.jp/item/rb00002938?page=18")</f>
        <v>https://rmda.kulib.kyoto-u.ac.jp/item/rb00002938?page=18</v>
      </c>
      <c r="E3019" s="22"/>
      <c r="F3019" s="22"/>
      <c r="G3019" s="22"/>
    </row>
    <row r="3020" spans="1:7" x14ac:dyDescent="0.15">
      <c r="A3020" s="41" t="s">
        <v>9307</v>
      </c>
      <c r="B3020" s="25" t="s">
        <v>9343</v>
      </c>
      <c r="C3020" s="19" t="s">
        <v>9344</v>
      </c>
      <c r="D3020" s="42" t="str">
        <f>HYPERLINK("https://rmda.kulib.kyoto-u.ac.jp/item/rb00002938?page=19")</f>
        <v>https://rmda.kulib.kyoto-u.ac.jp/item/rb00002938?page=19</v>
      </c>
      <c r="E3020" s="22"/>
      <c r="F3020" s="22"/>
      <c r="G3020" s="22"/>
    </row>
    <row r="3021" spans="1:7" x14ac:dyDescent="0.15">
      <c r="A3021" s="41" t="s">
        <v>9307</v>
      </c>
      <c r="B3021" s="25" t="s">
        <v>9345</v>
      </c>
      <c r="C3021" s="19" t="s">
        <v>9346</v>
      </c>
      <c r="D3021" s="42" t="str">
        <f>HYPERLINK("https://rmda.kulib.kyoto-u.ac.jp/item/rb00002938?page=19")</f>
        <v>https://rmda.kulib.kyoto-u.ac.jp/item/rb00002938?page=19</v>
      </c>
      <c r="E3021" s="22"/>
      <c r="F3021" s="22"/>
      <c r="G3021" s="22"/>
    </row>
    <row r="3022" spans="1:7" x14ac:dyDescent="0.15">
      <c r="A3022" s="41" t="s">
        <v>9307</v>
      </c>
      <c r="B3022" s="25" t="s">
        <v>9347</v>
      </c>
      <c r="C3022" s="19" t="s">
        <v>9348</v>
      </c>
      <c r="D3022" s="42" t="str">
        <f>HYPERLINK("https://rmda.kulib.kyoto-u.ac.jp/item/rb00002938?page=19")</f>
        <v>https://rmda.kulib.kyoto-u.ac.jp/item/rb00002938?page=19</v>
      </c>
      <c r="E3022" s="22"/>
      <c r="F3022" s="22"/>
      <c r="G3022" s="22"/>
    </row>
    <row r="3023" spans="1:7" ht="18.75" x14ac:dyDescent="0.15">
      <c r="A3023" s="41" t="s">
        <v>9307</v>
      </c>
      <c r="B3023" s="25" t="s">
        <v>9349</v>
      </c>
      <c r="C3023" s="19" t="s">
        <v>9350</v>
      </c>
      <c r="D3023" s="42" t="str">
        <f>HYPERLINK("https://rmda.kulib.kyoto-u.ac.jp/item/rb00002938?page=20")</f>
        <v>https://rmda.kulib.kyoto-u.ac.jp/item/rb00002938?page=20</v>
      </c>
      <c r="E3023" s="22"/>
      <c r="F3023" s="22"/>
      <c r="G3023" s="22"/>
    </row>
    <row r="3024" spans="1:7" x14ac:dyDescent="0.15">
      <c r="A3024" s="41" t="s">
        <v>9307</v>
      </c>
      <c r="B3024" s="25" t="s">
        <v>9351</v>
      </c>
      <c r="C3024" s="19" t="s">
        <v>9352</v>
      </c>
      <c r="D3024" s="42" t="str">
        <f>HYPERLINK("https://rmda.kulib.kyoto-u.ac.jp/item/rb00002938?page=20")</f>
        <v>https://rmda.kulib.kyoto-u.ac.jp/item/rb00002938?page=20</v>
      </c>
      <c r="E3024" s="22"/>
      <c r="F3024" s="22"/>
      <c r="G3024" s="22"/>
    </row>
    <row r="3025" spans="1:7" x14ac:dyDescent="0.15">
      <c r="A3025" s="41" t="s">
        <v>9307</v>
      </c>
      <c r="B3025" s="25" t="s">
        <v>9353</v>
      </c>
      <c r="C3025" s="19" t="s">
        <v>9354</v>
      </c>
      <c r="D3025" s="42" t="str">
        <f>HYPERLINK("https://rmda.kulib.kyoto-u.ac.jp/item/rb00002938?page=20")</f>
        <v>https://rmda.kulib.kyoto-u.ac.jp/item/rb00002938?page=20</v>
      </c>
      <c r="E3025" s="22"/>
      <c r="F3025" s="22"/>
      <c r="G3025" s="22"/>
    </row>
    <row r="3026" spans="1:7" x14ac:dyDescent="0.15">
      <c r="A3026" s="41" t="s">
        <v>9307</v>
      </c>
      <c r="B3026" s="25" t="s">
        <v>9355</v>
      </c>
      <c r="C3026" s="19" t="s">
        <v>9356</v>
      </c>
      <c r="D3026" s="42" t="str">
        <f>HYPERLINK("https://rmda.kulib.kyoto-u.ac.jp/item/rb00002938?page=21")</f>
        <v>https://rmda.kulib.kyoto-u.ac.jp/item/rb00002938?page=21</v>
      </c>
      <c r="E3026" s="22"/>
      <c r="F3026" s="22"/>
      <c r="G3026" s="22"/>
    </row>
    <row r="3027" spans="1:7" x14ac:dyDescent="0.15">
      <c r="A3027" s="41" t="s">
        <v>9307</v>
      </c>
      <c r="B3027" s="25" t="s">
        <v>9357</v>
      </c>
      <c r="C3027" s="19" t="s">
        <v>9358</v>
      </c>
      <c r="D3027" s="42" t="str">
        <f>HYPERLINK("https://rmda.kulib.kyoto-u.ac.jp/item/rb00002938?page=21")</f>
        <v>https://rmda.kulib.kyoto-u.ac.jp/item/rb00002938?page=21</v>
      </c>
      <c r="E3027" s="22"/>
      <c r="F3027" s="22"/>
      <c r="G3027" s="22"/>
    </row>
    <row r="3028" spans="1:7" x14ac:dyDescent="0.15">
      <c r="A3028" s="41" t="s">
        <v>9307</v>
      </c>
      <c r="B3028" s="25" t="s">
        <v>9359</v>
      </c>
      <c r="C3028" s="19" t="s">
        <v>9360</v>
      </c>
      <c r="D3028" s="42" t="str">
        <f>HYPERLINK("https://rmda.kulib.kyoto-u.ac.jp/item/rb00002938?page=23")</f>
        <v>https://rmda.kulib.kyoto-u.ac.jp/item/rb00002938?page=23</v>
      </c>
      <c r="E3028" s="22"/>
      <c r="F3028" s="22"/>
      <c r="G3028" s="22"/>
    </row>
    <row r="3029" spans="1:7" x14ac:dyDescent="0.15">
      <c r="A3029" s="41" t="s">
        <v>9307</v>
      </c>
      <c r="B3029" s="25" t="s">
        <v>9361</v>
      </c>
      <c r="C3029" s="19" t="s">
        <v>9362</v>
      </c>
      <c r="D3029" s="42" t="str">
        <f>HYPERLINK("https://rmda.kulib.kyoto-u.ac.jp/item/rb00002938?page=23")</f>
        <v>https://rmda.kulib.kyoto-u.ac.jp/item/rb00002938?page=23</v>
      </c>
      <c r="E3029" s="22"/>
      <c r="F3029" s="22"/>
      <c r="G3029" s="22"/>
    </row>
    <row r="3030" spans="1:7" x14ac:dyDescent="0.15">
      <c r="A3030" s="41" t="s">
        <v>9307</v>
      </c>
      <c r="B3030" s="25" t="s">
        <v>9363</v>
      </c>
      <c r="C3030" s="19" t="s">
        <v>9364</v>
      </c>
      <c r="D3030" s="42" t="str">
        <f>HYPERLINK("https://rmda.kulib.kyoto-u.ac.jp/item/rb00002938?page=23")</f>
        <v>https://rmda.kulib.kyoto-u.ac.jp/item/rb00002938?page=23</v>
      </c>
      <c r="E3030" s="22"/>
      <c r="F3030" s="22"/>
      <c r="G3030" s="22"/>
    </row>
    <row r="3031" spans="1:7" x14ac:dyDescent="0.15">
      <c r="A3031" s="41" t="s">
        <v>9307</v>
      </c>
      <c r="B3031" s="25" t="s">
        <v>9365</v>
      </c>
      <c r="C3031" s="19" t="s">
        <v>9366</v>
      </c>
      <c r="D3031" s="42" t="str">
        <f>HYPERLINK("https://rmda.kulib.kyoto-u.ac.jp/item/rb00002938?page=23")</f>
        <v>https://rmda.kulib.kyoto-u.ac.jp/item/rb00002938?page=23</v>
      </c>
      <c r="E3031" s="22"/>
      <c r="F3031" s="22"/>
      <c r="G3031" s="22"/>
    </row>
    <row r="3032" spans="1:7" x14ac:dyDescent="0.15">
      <c r="A3032" s="41" t="s">
        <v>9307</v>
      </c>
      <c r="B3032" s="25" t="s">
        <v>9367</v>
      </c>
      <c r="C3032" s="19" t="s">
        <v>9368</v>
      </c>
      <c r="D3032" s="42" t="str">
        <f>HYPERLINK("https://rmda.kulib.kyoto-u.ac.jp/item/rb00002938?page=23")</f>
        <v>https://rmda.kulib.kyoto-u.ac.jp/item/rb00002938?page=23</v>
      </c>
      <c r="E3032" s="22"/>
      <c r="F3032" s="22"/>
      <c r="G3032" s="22"/>
    </row>
    <row r="3033" spans="1:7" x14ac:dyDescent="0.15">
      <c r="A3033" s="41" t="s">
        <v>9307</v>
      </c>
      <c r="B3033" s="25" t="s">
        <v>9369</v>
      </c>
      <c r="C3033" s="19" t="s">
        <v>9370</v>
      </c>
      <c r="D3033" s="42" t="str">
        <f>HYPERLINK("https://rmda.kulib.kyoto-u.ac.jp/item/rb00002938?page=24")</f>
        <v>https://rmda.kulib.kyoto-u.ac.jp/item/rb00002938?page=24</v>
      </c>
      <c r="E3033" s="22"/>
      <c r="F3033" s="22"/>
      <c r="G3033" s="22"/>
    </row>
    <row r="3034" spans="1:7" x14ac:dyDescent="0.15">
      <c r="A3034" s="41" t="s">
        <v>9307</v>
      </c>
      <c r="B3034" s="25" t="s">
        <v>9371</v>
      </c>
      <c r="C3034" s="19" t="s">
        <v>9372</v>
      </c>
      <c r="D3034" s="42" t="str">
        <f>HYPERLINK("https://rmda.kulib.kyoto-u.ac.jp/item/rb00002938?page=24")</f>
        <v>https://rmda.kulib.kyoto-u.ac.jp/item/rb00002938?page=24</v>
      </c>
      <c r="E3034" s="22"/>
      <c r="F3034" s="22"/>
      <c r="G3034" s="22"/>
    </row>
    <row r="3035" spans="1:7" x14ac:dyDescent="0.15">
      <c r="A3035" s="41" t="s">
        <v>9307</v>
      </c>
      <c r="B3035" s="25" t="s">
        <v>9373</v>
      </c>
      <c r="C3035" s="19" t="s">
        <v>9374</v>
      </c>
      <c r="D3035" s="42" t="str">
        <f>HYPERLINK("https://rmda.kulib.kyoto-u.ac.jp/item/rb00002938?page=24")</f>
        <v>https://rmda.kulib.kyoto-u.ac.jp/item/rb00002938?page=24</v>
      </c>
      <c r="E3035" s="22"/>
      <c r="F3035" s="22"/>
      <c r="G3035" s="22"/>
    </row>
    <row r="3036" spans="1:7" x14ac:dyDescent="0.15">
      <c r="A3036" s="41" t="s">
        <v>9307</v>
      </c>
      <c r="B3036" s="25" t="s">
        <v>9375</v>
      </c>
      <c r="C3036" s="19" t="s">
        <v>9376</v>
      </c>
      <c r="D3036" s="42" t="str">
        <f>HYPERLINK("https://rmda.kulib.kyoto-u.ac.jp/item/rb00002938?page=25")</f>
        <v>https://rmda.kulib.kyoto-u.ac.jp/item/rb00002938?page=25</v>
      </c>
      <c r="E3036" s="22"/>
      <c r="F3036" s="22"/>
      <c r="G3036" s="22"/>
    </row>
    <row r="3037" spans="1:7" x14ac:dyDescent="0.15">
      <c r="A3037" s="41" t="s">
        <v>9307</v>
      </c>
      <c r="B3037" s="25" t="s">
        <v>9377</v>
      </c>
      <c r="C3037" s="19" t="s">
        <v>9378</v>
      </c>
      <c r="D3037" s="42" t="str">
        <f>HYPERLINK("https://rmda.kulib.kyoto-u.ac.jp/item/rb00002938?page=25")</f>
        <v>https://rmda.kulib.kyoto-u.ac.jp/item/rb00002938?page=25</v>
      </c>
      <c r="E3037" s="22"/>
      <c r="F3037" s="22"/>
      <c r="G3037" s="22"/>
    </row>
    <row r="3038" spans="1:7" x14ac:dyDescent="0.15">
      <c r="A3038" s="41" t="s">
        <v>9307</v>
      </c>
      <c r="B3038" s="25" t="s">
        <v>9379</v>
      </c>
      <c r="C3038" s="19" t="s">
        <v>9380</v>
      </c>
      <c r="D3038" s="42" t="str">
        <f>HYPERLINK("https://rmda.kulib.kyoto-u.ac.jp/item/rb00002938?page=25")</f>
        <v>https://rmda.kulib.kyoto-u.ac.jp/item/rb00002938?page=25</v>
      </c>
      <c r="E3038" s="22"/>
      <c r="F3038" s="22"/>
      <c r="G3038" s="22"/>
    </row>
    <row r="3039" spans="1:7" x14ac:dyDescent="0.15">
      <c r="A3039" s="41" t="s">
        <v>9307</v>
      </c>
      <c r="B3039" s="25" t="s">
        <v>9381</v>
      </c>
      <c r="C3039" s="19" t="s">
        <v>9382</v>
      </c>
      <c r="D3039" s="42" t="str">
        <f>HYPERLINK("https://rmda.kulib.kyoto-u.ac.jp/item/rb00002938?page=25")</f>
        <v>https://rmda.kulib.kyoto-u.ac.jp/item/rb00002938?page=25</v>
      </c>
      <c r="E3039" s="22"/>
      <c r="F3039" s="22"/>
      <c r="G3039" s="22"/>
    </row>
    <row r="3040" spans="1:7" x14ac:dyDescent="0.15">
      <c r="A3040" s="41" t="s">
        <v>9307</v>
      </c>
      <c r="B3040" s="25" t="s">
        <v>9383</v>
      </c>
      <c r="C3040" s="19" t="s">
        <v>9384</v>
      </c>
      <c r="D3040" s="42" t="str">
        <f>HYPERLINK("https://rmda.kulib.kyoto-u.ac.jp/item/rb00002938?page=27")</f>
        <v>https://rmda.kulib.kyoto-u.ac.jp/item/rb00002938?page=27</v>
      </c>
      <c r="E3040" s="22"/>
      <c r="F3040" s="22"/>
      <c r="G3040" s="22"/>
    </row>
    <row r="3041" spans="1:7" x14ac:dyDescent="0.15">
      <c r="A3041" s="41" t="s">
        <v>9307</v>
      </c>
      <c r="B3041" s="25" t="s">
        <v>9385</v>
      </c>
      <c r="C3041" s="19" t="s">
        <v>9386</v>
      </c>
      <c r="D3041" s="42" t="str">
        <f>HYPERLINK("https://rmda.kulib.kyoto-u.ac.jp/item/rb00002938?page=28")</f>
        <v>https://rmda.kulib.kyoto-u.ac.jp/item/rb00002938?page=28</v>
      </c>
      <c r="E3041" s="22"/>
      <c r="F3041" s="22"/>
      <c r="G3041" s="22"/>
    </row>
    <row r="3042" spans="1:7" x14ac:dyDescent="0.15">
      <c r="A3042" s="41" t="s">
        <v>9307</v>
      </c>
      <c r="B3042" s="25" t="s">
        <v>9387</v>
      </c>
      <c r="C3042" s="19" t="s">
        <v>9388</v>
      </c>
      <c r="D3042" s="42" t="str">
        <f>HYPERLINK("https://rmda.kulib.kyoto-u.ac.jp/item/rb00002938?page=28")</f>
        <v>https://rmda.kulib.kyoto-u.ac.jp/item/rb00002938?page=28</v>
      </c>
      <c r="E3042" s="22"/>
      <c r="F3042" s="22"/>
      <c r="G3042" s="22"/>
    </row>
    <row r="3043" spans="1:7" x14ac:dyDescent="0.15">
      <c r="A3043" s="41" t="s">
        <v>9307</v>
      </c>
      <c r="B3043" s="25" t="s">
        <v>9389</v>
      </c>
      <c r="C3043" s="19" t="s">
        <v>9390</v>
      </c>
      <c r="D3043" s="42" t="str">
        <f>HYPERLINK("https://rmda.kulib.kyoto-u.ac.jp/item/rb00002938?page=28")</f>
        <v>https://rmda.kulib.kyoto-u.ac.jp/item/rb00002938?page=28</v>
      </c>
      <c r="E3043" s="22"/>
      <c r="F3043" s="22"/>
      <c r="G3043" s="22"/>
    </row>
    <row r="3044" spans="1:7" x14ac:dyDescent="0.15">
      <c r="A3044" s="41" t="s">
        <v>9307</v>
      </c>
      <c r="B3044" s="25" t="s">
        <v>9391</v>
      </c>
      <c r="C3044" s="19" t="s">
        <v>9392</v>
      </c>
      <c r="D3044" s="42" t="str">
        <f>HYPERLINK("https://rmda.kulib.kyoto-u.ac.jp/item/rb00002938?page=28")</f>
        <v>https://rmda.kulib.kyoto-u.ac.jp/item/rb00002938?page=28</v>
      </c>
      <c r="E3044" s="22"/>
      <c r="F3044" s="22"/>
      <c r="G3044" s="22"/>
    </row>
    <row r="3045" spans="1:7" x14ac:dyDescent="0.15">
      <c r="A3045" s="41" t="s">
        <v>9307</v>
      </c>
      <c r="B3045" s="25" t="s">
        <v>9393</v>
      </c>
      <c r="C3045" s="19" t="s">
        <v>9394</v>
      </c>
      <c r="D3045" s="42" t="str">
        <f>HYPERLINK("https://rmda.kulib.kyoto-u.ac.jp/item/rb00002938?page=29")</f>
        <v>https://rmda.kulib.kyoto-u.ac.jp/item/rb00002938?page=29</v>
      </c>
      <c r="E3045" s="22"/>
      <c r="F3045" s="22"/>
      <c r="G3045" s="22"/>
    </row>
    <row r="3046" spans="1:7" x14ac:dyDescent="0.15">
      <c r="A3046" s="41" t="s">
        <v>9307</v>
      </c>
      <c r="B3046" s="25" t="s">
        <v>9395</v>
      </c>
      <c r="C3046" s="19" t="s">
        <v>9396</v>
      </c>
      <c r="D3046" s="42" t="str">
        <f>HYPERLINK("https://rmda.kulib.kyoto-u.ac.jp/item/rb00002938?page=30")</f>
        <v>https://rmda.kulib.kyoto-u.ac.jp/item/rb00002938?page=30</v>
      </c>
      <c r="E3046" s="22"/>
      <c r="F3046" s="22"/>
      <c r="G3046" s="22"/>
    </row>
    <row r="3047" spans="1:7" x14ac:dyDescent="0.15">
      <c r="A3047" s="41" t="s">
        <v>9307</v>
      </c>
      <c r="B3047" s="25" t="s">
        <v>9397</v>
      </c>
      <c r="C3047" s="19" t="s">
        <v>9398</v>
      </c>
      <c r="D3047" s="42" t="str">
        <f>HYPERLINK("https://rmda.kulib.kyoto-u.ac.jp/item/rb00002938?page=31")</f>
        <v>https://rmda.kulib.kyoto-u.ac.jp/item/rb00002938?page=31</v>
      </c>
      <c r="E3047" s="22"/>
      <c r="F3047" s="22"/>
      <c r="G3047" s="22"/>
    </row>
    <row r="3048" spans="1:7" x14ac:dyDescent="0.15">
      <c r="A3048" s="41" t="s">
        <v>9307</v>
      </c>
      <c r="B3048" s="25" t="s">
        <v>9399</v>
      </c>
      <c r="C3048" s="19" t="s">
        <v>9400</v>
      </c>
      <c r="D3048" s="42" t="str">
        <f>HYPERLINK("https://rmda.kulib.kyoto-u.ac.jp/item/rb00002938?page=32")</f>
        <v>https://rmda.kulib.kyoto-u.ac.jp/item/rb00002938?page=32</v>
      </c>
      <c r="E3048" s="22"/>
      <c r="F3048" s="22"/>
      <c r="G3048" s="22"/>
    </row>
    <row r="3049" spans="1:7" x14ac:dyDescent="0.15">
      <c r="A3049" s="41" t="s">
        <v>9307</v>
      </c>
      <c r="B3049" s="25" t="s">
        <v>9401</v>
      </c>
      <c r="C3049" s="19" t="s">
        <v>9402</v>
      </c>
      <c r="D3049" s="42" t="str">
        <f>HYPERLINK("https://rmda.kulib.kyoto-u.ac.jp/item/rb00002938?page=32")</f>
        <v>https://rmda.kulib.kyoto-u.ac.jp/item/rb00002938?page=32</v>
      </c>
      <c r="E3049" s="22"/>
      <c r="F3049" s="22"/>
      <c r="G3049" s="22"/>
    </row>
    <row r="3050" spans="1:7" x14ac:dyDescent="0.15">
      <c r="A3050" s="41" t="s">
        <v>9307</v>
      </c>
      <c r="B3050" s="25" t="s">
        <v>9403</v>
      </c>
      <c r="C3050" s="19" t="s">
        <v>9404</v>
      </c>
      <c r="D3050" s="42" t="str">
        <f>HYPERLINK("https://rmda.kulib.kyoto-u.ac.jp/item/rb00002938?page=32")</f>
        <v>https://rmda.kulib.kyoto-u.ac.jp/item/rb00002938?page=32</v>
      </c>
      <c r="E3050" s="22"/>
      <c r="F3050" s="22"/>
      <c r="G3050" s="22"/>
    </row>
    <row r="3051" spans="1:7" x14ac:dyDescent="0.15">
      <c r="A3051" s="41" t="s">
        <v>9307</v>
      </c>
      <c r="B3051" s="25" t="s">
        <v>9405</v>
      </c>
      <c r="C3051" s="19" t="s">
        <v>9406</v>
      </c>
      <c r="D3051" s="42" t="str">
        <f>HYPERLINK("https://rmda.kulib.kyoto-u.ac.jp/item/rb00002938?page=34")</f>
        <v>https://rmda.kulib.kyoto-u.ac.jp/item/rb00002938?page=34</v>
      </c>
      <c r="E3051" s="22"/>
      <c r="F3051" s="22"/>
      <c r="G3051" s="22"/>
    </row>
    <row r="3052" spans="1:7" x14ac:dyDescent="0.15">
      <c r="A3052" s="41" t="s">
        <v>9307</v>
      </c>
      <c r="B3052" s="25" t="s">
        <v>9407</v>
      </c>
      <c r="C3052" s="19" t="s">
        <v>9408</v>
      </c>
      <c r="D3052" s="42" t="str">
        <f>HYPERLINK("https://rmda.kulib.kyoto-u.ac.jp/item/rb00002938?page=34")</f>
        <v>https://rmda.kulib.kyoto-u.ac.jp/item/rb00002938?page=34</v>
      </c>
      <c r="E3052" s="22"/>
      <c r="F3052" s="22"/>
      <c r="G3052" s="22"/>
    </row>
    <row r="3053" spans="1:7" x14ac:dyDescent="0.15">
      <c r="A3053" s="41" t="s">
        <v>9307</v>
      </c>
      <c r="B3053" s="25" t="s">
        <v>9409</v>
      </c>
      <c r="C3053" s="19" t="s">
        <v>9410</v>
      </c>
      <c r="D3053" s="42" t="str">
        <f>HYPERLINK("https://rmda.kulib.kyoto-u.ac.jp/item/rb00002938?page=35")</f>
        <v>https://rmda.kulib.kyoto-u.ac.jp/item/rb00002938?page=35</v>
      </c>
      <c r="E3053" s="22"/>
      <c r="F3053" s="22"/>
      <c r="G3053" s="22"/>
    </row>
    <row r="3054" spans="1:7" x14ac:dyDescent="0.15">
      <c r="A3054" s="41" t="s">
        <v>9307</v>
      </c>
      <c r="B3054" s="25" t="s">
        <v>9411</v>
      </c>
      <c r="C3054" s="19" t="s">
        <v>9412</v>
      </c>
      <c r="D3054" s="42" t="str">
        <f t="shared" ref="D3054:D3060" si="219">HYPERLINK("https://rmda.kulib.kyoto-u.ac.jp/item/rb00002938?page=36")</f>
        <v>https://rmda.kulib.kyoto-u.ac.jp/item/rb00002938?page=36</v>
      </c>
      <c r="E3054" s="22"/>
      <c r="F3054" s="22"/>
      <c r="G3054" s="22"/>
    </row>
    <row r="3055" spans="1:7" x14ac:dyDescent="0.15">
      <c r="A3055" s="41" t="s">
        <v>9307</v>
      </c>
      <c r="B3055" s="25" t="s">
        <v>9413</v>
      </c>
      <c r="C3055" s="19" t="s">
        <v>9414</v>
      </c>
      <c r="D3055" s="42" t="str">
        <f t="shared" si="219"/>
        <v>https://rmda.kulib.kyoto-u.ac.jp/item/rb00002938?page=36</v>
      </c>
      <c r="E3055" s="22"/>
      <c r="F3055" s="22"/>
      <c r="G3055" s="22"/>
    </row>
    <row r="3056" spans="1:7" x14ac:dyDescent="0.15">
      <c r="A3056" s="41" t="s">
        <v>9307</v>
      </c>
      <c r="B3056" s="25" t="s">
        <v>9415</v>
      </c>
      <c r="C3056" s="19" t="s">
        <v>9416</v>
      </c>
      <c r="D3056" s="42" t="str">
        <f t="shared" si="219"/>
        <v>https://rmda.kulib.kyoto-u.ac.jp/item/rb00002938?page=36</v>
      </c>
      <c r="E3056" s="22"/>
      <c r="F3056" s="22"/>
      <c r="G3056" s="22"/>
    </row>
    <row r="3057" spans="1:7" x14ac:dyDescent="0.15">
      <c r="A3057" s="41" t="s">
        <v>9307</v>
      </c>
      <c r="B3057" s="25" t="s">
        <v>9417</v>
      </c>
      <c r="C3057" s="19" t="s">
        <v>9418</v>
      </c>
      <c r="D3057" s="42" t="str">
        <f t="shared" si="219"/>
        <v>https://rmda.kulib.kyoto-u.ac.jp/item/rb00002938?page=36</v>
      </c>
      <c r="E3057" s="22"/>
      <c r="F3057" s="22"/>
      <c r="G3057" s="22"/>
    </row>
    <row r="3058" spans="1:7" x14ac:dyDescent="0.15">
      <c r="A3058" s="41" t="s">
        <v>9307</v>
      </c>
      <c r="B3058" s="25" t="s">
        <v>9419</v>
      </c>
      <c r="C3058" s="19" t="s">
        <v>9420</v>
      </c>
      <c r="D3058" s="42" t="str">
        <f t="shared" si="219"/>
        <v>https://rmda.kulib.kyoto-u.ac.jp/item/rb00002938?page=36</v>
      </c>
      <c r="E3058" s="22"/>
      <c r="F3058" s="22"/>
      <c r="G3058" s="22"/>
    </row>
    <row r="3059" spans="1:7" x14ac:dyDescent="0.15">
      <c r="A3059" s="41" t="s">
        <v>9307</v>
      </c>
      <c r="B3059" s="25" t="s">
        <v>9421</v>
      </c>
      <c r="C3059" s="19" t="s">
        <v>9422</v>
      </c>
      <c r="D3059" s="42" t="str">
        <f t="shared" si="219"/>
        <v>https://rmda.kulib.kyoto-u.ac.jp/item/rb00002938?page=36</v>
      </c>
      <c r="E3059" s="22"/>
      <c r="F3059" s="22"/>
      <c r="G3059" s="22"/>
    </row>
    <row r="3060" spans="1:7" x14ac:dyDescent="0.15">
      <c r="A3060" s="41" t="s">
        <v>9307</v>
      </c>
      <c r="B3060" s="25" t="s">
        <v>9423</v>
      </c>
      <c r="C3060" s="19" t="s">
        <v>9424</v>
      </c>
      <c r="D3060" s="42" t="str">
        <f t="shared" si="219"/>
        <v>https://rmda.kulib.kyoto-u.ac.jp/item/rb00002938?page=36</v>
      </c>
      <c r="E3060" s="22"/>
      <c r="F3060" s="22"/>
      <c r="G3060" s="22"/>
    </row>
    <row r="3061" spans="1:7" x14ac:dyDescent="0.15">
      <c r="A3061" s="41" t="s">
        <v>9307</v>
      </c>
      <c r="B3061" s="25" t="s">
        <v>9425</v>
      </c>
      <c r="C3061" s="19" t="s">
        <v>9426</v>
      </c>
      <c r="D3061" s="42" t="str">
        <f>HYPERLINK("https://rmda.kulib.kyoto-u.ac.jp/item/rb00002938?page=38")</f>
        <v>https://rmda.kulib.kyoto-u.ac.jp/item/rb00002938?page=38</v>
      </c>
      <c r="E3061" s="22"/>
      <c r="F3061" s="22"/>
      <c r="G3061" s="22"/>
    </row>
    <row r="3062" spans="1:7" x14ac:dyDescent="0.15">
      <c r="A3062" s="41" t="s">
        <v>9307</v>
      </c>
      <c r="B3062" s="25" t="s">
        <v>9427</v>
      </c>
      <c r="C3062" s="19" t="s">
        <v>9428</v>
      </c>
      <c r="D3062" s="42" t="str">
        <f>HYPERLINK("https://rmda.kulib.kyoto-u.ac.jp/item/rb00002938?page=39")</f>
        <v>https://rmda.kulib.kyoto-u.ac.jp/item/rb00002938?page=39</v>
      </c>
      <c r="E3062" s="22"/>
      <c r="F3062" s="22"/>
      <c r="G3062" s="22"/>
    </row>
    <row r="3063" spans="1:7" x14ac:dyDescent="0.15">
      <c r="A3063" s="41" t="s">
        <v>9307</v>
      </c>
      <c r="B3063" s="25" t="s">
        <v>9429</v>
      </c>
      <c r="C3063" s="19" t="s">
        <v>9430</v>
      </c>
      <c r="D3063" s="42" t="str">
        <f>HYPERLINK("https://rmda.kulib.kyoto-u.ac.jp/item/rb00002938?page=39")</f>
        <v>https://rmda.kulib.kyoto-u.ac.jp/item/rb00002938?page=39</v>
      </c>
      <c r="E3063" s="22"/>
      <c r="F3063" s="22"/>
      <c r="G3063" s="22"/>
    </row>
    <row r="3064" spans="1:7" x14ac:dyDescent="0.15">
      <c r="A3064" s="41" t="s">
        <v>9307</v>
      </c>
      <c r="B3064" s="25" t="s">
        <v>9431</v>
      </c>
      <c r="C3064" s="19" t="s">
        <v>9432</v>
      </c>
      <c r="D3064" s="42" t="str">
        <f>HYPERLINK("https://rmda.kulib.kyoto-u.ac.jp/item/rb00002938?page=42")</f>
        <v>https://rmda.kulib.kyoto-u.ac.jp/item/rb00002938?page=42</v>
      </c>
      <c r="E3064" s="22"/>
      <c r="F3064" s="22"/>
      <c r="G3064" s="22"/>
    </row>
    <row r="3065" spans="1:7" x14ac:dyDescent="0.15">
      <c r="A3065" s="41" t="s">
        <v>9307</v>
      </c>
      <c r="B3065" s="25" t="s">
        <v>9433</v>
      </c>
      <c r="C3065" s="19" t="s">
        <v>9434</v>
      </c>
      <c r="D3065" s="42" t="str">
        <f>HYPERLINK("https://rmda.kulib.kyoto-u.ac.jp/item/rb00002938?page=42")</f>
        <v>https://rmda.kulib.kyoto-u.ac.jp/item/rb00002938?page=42</v>
      </c>
      <c r="E3065" s="22"/>
      <c r="F3065" s="22"/>
      <c r="G3065" s="22"/>
    </row>
    <row r="3066" spans="1:7" ht="27" x14ac:dyDescent="0.15">
      <c r="A3066" s="41" t="s">
        <v>9307</v>
      </c>
      <c r="B3066" s="25" t="s">
        <v>9435</v>
      </c>
      <c r="C3066" s="19" t="s">
        <v>9436</v>
      </c>
      <c r="D3066" s="42" t="str">
        <f>HYPERLINK("https://rmda.kulib.kyoto-u.ac.jp/item/rb00002938?page=42")</f>
        <v>https://rmda.kulib.kyoto-u.ac.jp/item/rb00002938?page=42</v>
      </c>
      <c r="E3066" s="22"/>
      <c r="F3066" s="22"/>
      <c r="G3066" s="22"/>
    </row>
    <row r="3067" spans="1:7" x14ac:dyDescent="0.15">
      <c r="A3067" s="41" t="s">
        <v>9307</v>
      </c>
      <c r="B3067" s="25" t="s">
        <v>9437</v>
      </c>
      <c r="C3067" s="19" t="s">
        <v>9438</v>
      </c>
      <c r="D3067" s="42" t="str">
        <f>HYPERLINK("https://rmda.kulib.kyoto-u.ac.jp/item/rb00002938?page=42")</f>
        <v>https://rmda.kulib.kyoto-u.ac.jp/item/rb00002938?page=42</v>
      </c>
      <c r="E3067" s="22"/>
      <c r="F3067" s="22"/>
      <c r="G3067" s="22"/>
    </row>
    <row r="3068" spans="1:7" x14ac:dyDescent="0.15">
      <c r="A3068" s="41" t="s">
        <v>9307</v>
      </c>
      <c r="B3068" s="25" t="s">
        <v>9439</v>
      </c>
      <c r="C3068" s="19" t="s">
        <v>9440</v>
      </c>
      <c r="D3068" s="42" t="str">
        <f t="shared" ref="D3068:D3075" si="220">HYPERLINK("https://rmda.kulib.kyoto-u.ac.jp/item/rb00002938?page=43")</f>
        <v>https://rmda.kulib.kyoto-u.ac.jp/item/rb00002938?page=43</v>
      </c>
      <c r="E3068" s="22"/>
      <c r="F3068" s="22"/>
      <c r="G3068" s="22"/>
    </row>
    <row r="3069" spans="1:7" x14ac:dyDescent="0.15">
      <c r="A3069" s="41" t="s">
        <v>9307</v>
      </c>
      <c r="B3069" s="25" t="s">
        <v>9441</v>
      </c>
      <c r="C3069" s="19" t="s">
        <v>9442</v>
      </c>
      <c r="D3069" s="42" t="str">
        <f t="shared" si="220"/>
        <v>https://rmda.kulib.kyoto-u.ac.jp/item/rb00002938?page=43</v>
      </c>
      <c r="E3069" s="22"/>
      <c r="F3069" s="22"/>
      <c r="G3069" s="22"/>
    </row>
    <row r="3070" spans="1:7" x14ac:dyDescent="0.15">
      <c r="A3070" s="41" t="s">
        <v>9307</v>
      </c>
      <c r="B3070" s="25" t="s">
        <v>9443</v>
      </c>
      <c r="C3070" s="19" t="s">
        <v>9444</v>
      </c>
      <c r="D3070" s="42" t="str">
        <f t="shared" si="220"/>
        <v>https://rmda.kulib.kyoto-u.ac.jp/item/rb00002938?page=43</v>
      </c>
      <c r="E3070" s="22"/>
      <c r="F3070" s="22"/>
      <c r="G3070" s="22"/>
    </row>
    <row r="3071" spans="1:7" x14ac:dyDescent="0.15">
      <c r="A3071" s="41" t="s">
        <v>9307</v>
      </c>
      <c r="B3071" s="25" t="s">
        <v>9445</v>
      </c>
      <c r="C3071" s="19" t="s">
        <v>9446</v>
      </c>
      <c r="D3071" s="42" t="str">
        <f t="shared" si="220"/>
        <v>https://rmda.kulib.kyoto-u.ac.jp/item/rb00002938?page=43</v>
      </c>
      <c r="E3071" s="22"/>
      <c r="F3071" s="22"/>
      <c r="G3071" s="22"/>
    </row>
    <row r="3072" spans="1:7" x14ac:dyDescent="0.15">
      <c r="A3072" s="41" t="s">
        <v>9307</v>
      </c>
      <c r="B3072" s="25" t="s">
        <v>9447</v>
      </c>
      <c r="C3072" s="19" t="s">
        <v>9448</v>
      </c>
      <c r="D3072" s="42" t="str">
        <f t="shared" si="220"/>
        <v>https://rmda.kulib.kyoto-u.ac.jp/item/rb00002938?page=43</v>
      </c>
      <c r="E3072" s="22"/>
      <c r="F3072" s="22"/>
      <c r="G3072" s="22"/>
    </row>
    <row r="3073" spans="1:7" x14ac:dyDescent="0.15">
      <c r="A3073" s="41" t="s">
        <v>9307</v>
      </c>
      <c r="B3073" s="25" t="s">
        <v>9449</v>
      </c>
      <c r="C3073" s="19" t="s">
        <v>9450</v>
      </c>
      <c r="D3073" s="42" t="str">
        <f t="shared" si="220"/>
        <v>https://rmda.kulib.kyoto-u.ac.jp/item/rb00002938?page=43</v>
      </c>
      <c r="E3073" s="22"/>
      <c r="F3073" s="22"/>
      <c r="G3073" s="22"/>
    </row>
    <row r="3074" spans="1:7" x14ac:dyDescent="0.15">
      <c r="A3074" s="41" t="s">
        <v>9307</v>
      </c>
      <c r="B3074" s="25" t="s">
        <v>9451</v>
      </c>
      <c r="C3074" s="19" t="s">
        <v>9452</v>
      </c>
      <c r="D3074" s="42" t="str">
        <f t="shared" si="220"/>
        <v>https://rmda.kulib.kyoto-u.ac.jp/item/rb00002938?page=43</v>
      </c>
      <c r="E3074" s="22"/>
      <c r="F3074" s="22"/>
      <c r="G3074" s="22"/>
    </row>
    <row r="3075" spans="1:7" x14ac:dyDescent="0.15">
      <c r="A3075" s="41" t="s">
        <v>9307</v>
      </c>
      <c r="B3075" s="25" t="s">
        <v>9453</v>
      </c>
      <c r="C3075" s="19" t="s">
        <v>9454</v>
      </c>
      <c r="D3075" s="42" t="str">
        <f t="shared" si="220"/>
        <v>https://rmda.kulib.kyoto-u.ac.jp/item/rb00002938?page=43</v>
      </c>
      <c r="E3075" s="22"/>
      <c r="F3075" s="22"/>
      <c r="G3075" s="22"/>
    </row>
    <row r="3076" spans="1:7" x14ac:dyDescent="0.15">
      <c r="A3076" s="41" t="s">
        <v>9307</v>
      </c>
      <c r="B3076" s="25" t="s">
        <v>9455</v>
      </c>
      <c r="C3076" s="19" t="s">
        <v>9456</v>
      </c>
      <c r="D3076" s="42" t="str">
        <f>HYPERLINK("https://rmda.kulib.kyoto-u.ac.jp/item/rb00002938?page=44")</f>
        <v>https://rmda.kulib.kyoto-u.ac.jp/item/rb00002938?page=44</v>
      </c>
      <c r="E3076" s="22"/>
      <c r="F3076" s="22"/>
      <c r="G3076" s="22"/>
    </row>
    <row r="3077" spans="1:7" x14ac:dyDescent="0.15">
      <c r="A3077" s="41" t="s">
        <v>9307</v>
      </c>
      <c r="B3077" s="25" t="s">
        <v>9457</v>
      </c>
      <c r="C3077" s="19" t="s">
        <v>9458</v>
      </c>
      <c r="D3077" s="42" t="str">
        <f>HYPERLINK("https://rmda.kulib.kyoto-u.ac.jp/item/rb00002938?page=44")</f>
        <v>https://rmda.kulib.kyoto-u.ac.jp/item/rb00002938?page=44</v>
      </c>
      <c r="E3077" s="22"/>
      <c r="F3077" s="22"/>
      <c r="G3077" s="22"/>
    </row>
    <row r="3078" spans="1:7" x14ac:dyDescent="0.15">
      <c r="A3078" s="41" t="s">
        <v>9307</v>
      </c>
      <c r="B3078" s="25" t="s">
        <v>9459</v>
      </c>
      <c r="C3078" s="19" t="s">
        <v>9460</v>
      </c>
      <c r="D3078" s="42" t="str">
        <f>HYPERLINK("https://rmda.kulib.kyoto-u.ac.jp/item/rb00002938?page=44")</f>
        <v>https://rmda.kulib.kyoto-u.ac.jp/item/rb00002938?page=44</v>
      </c>
      <c r="E3078" s="22"/>
      <c r="F3078" s="22"/>
      <c r="G3078" s="22"/>
    </row>
    <row r="3079" spans="1:7" x14ac:dyDescent="0.15">
      <c r="A3079" s="41" t="s">
        <v>9307</v>
      </c>
      <c r="B3079" s="25" t="s">
        <v>9461</v>
      </c>
      <c r="C3079" s="19" t="s">
        <v>9462</v>
      </c>
      <c r="D3079" s="42" t="str">
        <f>HYPERLINK("https://rmda.kulib.kyoto-u.ac.jp/item/rb00002938?page=44")</f>
        <v>https://rmda.kulib.kyoto-u.ac.jp/item/rb00002938?page=44</v>
      </c>
      <c r="E3079" s="22"/>
      <c r="F3079" s="22"/>
      <c r="G3079" s="22"/>
    </row>
    <row r="3080" spans="1:7" x14ac:dyDescent="0.15">
      <c r="A3080" s="41" t="s">
        <v>9307</v>
      </c>
      <c r="B3080" s="25" t="s">
        <v>9463</v>
      </c>
      <c r="C3080" s="19" t="s">
        <v>9464</v>
      </c>
      <c r="D3080" s="42" t="str">
        <f t="shared" ref="D3080:D3086" si="221">HYPERLINK("https://rmda.kulib.kyoto-u.ac.jp/item/rb00002938?page=45")</f>
        <v>https://rmda.kulib.kyoto-u.ac.jp/item/rb00002938?page=45</v>
      </c>
      <c r="E3080" s="22"/>
      <c r="F3080" s="22"/>
      <c r="G3080" s="22"/>
    </row>
    <row r="3081" spans="1:7" x14ac:dyDescent="0.15">
      <c r="A3081" s="41" t="s">
        <v>9307</v>
      </c>
      <c r="B3081" s="25" t="s">
        <v>9465</v>
      </c>
      <c r="C3081" s="19" t="s">
        <v>9466</v>
      </c>
      <c r="D3081" s="42" t="str">
        <f t="shared" si="221"/>
        <v>https://rmda.kulib.kyoto-u.ac.jp/item/rb00002938?page=45</v>
      </c>
      <c r="E3081" s="22"/>
      <c r="F3081" s="22"/>
      <c r="G3081" s="22"/>
    </row>
    <row r="3082" spans="1:7" x14ac:dyDescent="0.15">
      <c r="A3082" s="41" t="s">
        <v>9307</v>
      </c>
      <c r="B3082" s="25" t="s">
        <v>9467</v>
      </c>
      <c r="C3082" s="19" t="s">
        <v>9468</v>
      </c>
      <c r="D3082" s="42" t="str">
        <f t="shared" si="221"/>
        <v>https://rmda.kulib.kyoto-u.ac.jp/item/rb00002938?page=45</v>
      </c>
      <c r="E3082" s="22"/>
      <c r="F3082" s="22"/>
      <c r="G3082" s="22"/>
    </row>
    <row r="3083" spans="1:7" x14ac:dyDescent="0.15">
      <c r="A3083" s="41" t="s">
        <v>9307</v>
      </c>
      <c r="B3083" s="25" t="s">
        <v>9469</v>
      </c>
      <c r="C3083" s="19" t="s">
        <v>9470</v>
      </c>
      <c r="D3083" s="42" t="str">
        <f t="shared" si="221"/>
        <v>https://rmda.kulib.kyoto-u.ac.jp/item/rb00002938?page=45</v>
      </c>
      <c r="E3083" s="22"/>
      <c r="F3083" s="22"/>
      <c r="G3083" s="22"/>
    </row>
    <row r="3084" spans="1:7" x14ac:dyDescent="0.15">
      <c r="A3084" s="41" t="s">
        <v>9307</v>
      </c>
      <c r="B3084" s="25" t="s">
        <v>9471</v>
      </c>
      <c r="C3084" s="19" t="s">
        <v>9472</v>
      </c>
      <c r="D3084" s="42" t="str">
        <f t="shared" si="221"/>
        <v>https://rmda.kulib.kyoto-u.ac.jp/item/rb00002938?page=45</v>
      </c>
      <c r="E3084" s="22"/>
      <c r="F3084" s="22"/>
      <c r="G3084" s="22"/>
    </row>
    <row r="3085" spans="1:7" x14ac:dyDescent="0.15">
      <c r="A3085" s="41" t="s">
        <v>9307</v>
      </c>
      <c r="B3085" s="25" t="s">
        <v>9473</v>
      </c>
      <c r="C3085" s="19" t="s">
        <v>9474</v>
      </c>
      <c r="D3085" s="42" t="str">
        <f t="shared" si="221"/>
        <v>https://rmda.kulib.kyoto-u.ac.jp/item/rb00002938?page=45</v>
      </c>
      <c r="E3085" s="22"/>
      <c r="F3085" s="22"/>
      <c r="G3085" s="22"/>
    </row>
    <row r="3086" spans="1:7" x14ac:dyDescent="0.15">
      <c r="A3086" s="41" t="s">
        <v>9307</v>
      </c>
      <c r="B3086" s="25" t="s">
        <v>9475</v>
      </c>
      <c r="C3086" s="19" t="s">
        <v>9476</v>
      </c>
      <c r="D3086" s="42" t="str">
        <f t="shared" si="221"/>
        <v>https://rmda.kulib.kyoto-u.ac.jp/item/rb00002938?page=45</v>
      </c>
      <c r="E3086" s="22"/>
      <c r="F3086" s="22"/>
      <c r="G3086" s="22"/>
    </row>
    <row r="3087" spans="1:7" x14ac:dyDescent="0.15">
      <c r="A3087" s="41" t="s">
        <v>9307</v>
      </c>
      <c r="B3087" s="25" t="s">
        <v>9477</v>
      </c>
      <c r="C3087" s="19" t="s">
        <v>9478</v>
      </c>
      <c r="D3087" s="42" t="str">
        <f t="shared" ref="D3087:D3094" si="222">HYPERLINK("https://rmda.kulib.kyoto-u.ac.jp/item/rb00002938?page=46")</f>
        <v>https://rmda.kulib.kyoto-u.ac.jp/item/rb00002938?page=46</v>
      </c>
      <c r="E3087" s="22"/>
      <c r="F3087" s="22"/>
      <c r="G3087" s="22"/>
    </row>
    <row r="3088" spans="1:7" x14ac:dyDescent="0.15">
      <c r="A3088" s="41" t="s">
        <v>9307</v>
      </c>
      <c r="B3088" s="25" t="s">
        <v>9479</v>
      </c>
      <c r="C3088" s="19" t="s">
        <v>9480</v>
      </c>
      <c r="D3088" s="42" t="str">
        <f t="shared" si="222"/>
        <v>https://rmda.kulib.kyoto-u.ac.jp/item/rb00002938?page=46</v>
      </c>
      <c r="E3088" s="22"/>
      <c r="F3088" s="22"/>
      <c r="G3088" s="22"/>
    </row>
    <row r="3089" spans="1:7" x14ac:dyDescent="0.15">
      <c r="A3089" s="41" t="s">
        <v>9307</v>
      </c>
      <c r="B3089" s="25" t="s">
        <v>9481</v>
      </c>
      <c r="C3089" s="19" t="s">
        <v>9482</v>
      </c>
      <c r="D3089" s="42" t="str">
        <f t="shared" si="222"/>
        <v>https://rmda.kulib.kyoto-u.ac.jp/item/rb00002938?page=46</v>
      </c>
      <c r="E3089" s="22"/>
      <c r="F3089" s="22"/>
      <c r="G3089" s="22"/>
    </row>
    <row r="3090" spans="1:7" x14ac:dyDescent="0.15">
      <c r="A3090" s="41" t="s">
        <v>9307</v>
      </c>
      <c r="B3090" s="25" t="s">
        <v>9483</v>
      </c>
      <c r="C3090" s="19" t="s">
        <v>9484</v>
      </c>
      <c r="D3090" s="42" t="str">
        <f t="shared" si="222"/>
        <v>https://rmda.kulib.kyoto-u.ac.jp/item/rb00002938?page=46</v>
      </c>
      <c r="E3090" s="22"/>
      <c r="F3090" s="22"/>
      <c r="G3090" s="22"/>
    </row>
    <row r="3091" spans="1:7" x14ac:dyDescent="0.15">
      <c r="A3091" s="41" t="s">
        <v>9307</v>
      </c>
      <c r="B3091" s="25" t="s">
        <v>9485</v>
      </c>
      <c r="C3091" s="19" t="s">
        <v>9486</v>
      </c>
      <c r="D3091" s="42" t="str">
        <f t="shared" si="222"/>
        <v>https://rmda.kulib.kyoto-u.ac.jp/item/rb00002938?page=46</v>
      </c>
      <c r="E3091" s="22"/>
      <c r="F3091" s="22"/>
      <c r="G3091" s="22"/>
    </row>
    <row r="3092" spans="1:7" x14ac:dyDescent="0.15">
      <c r="A3092" s="41" t="s">
        <v>9307</v>
      </c>
      <c r="B3092" s="25" t="s">
        <v>9487</v>
      </c>
      <c r="C3092" s="19" t="s">
        <v>9488</v>
      </c>
      <c r="D3092" s="42" t="str">
        <f t="shared" si="222"/>
        <v>https://rmda.kulib.kyoto-u.ac.jp/item/rb00002938?page=46</v>
      </c>
      <c r="E3092" s="22"/>
      <c r="F3092" s="22"/>
      <c r="G3092" s="22"/>
    </row>
    <row r="3093" spans="1:7" x14ac:dyDescent="0.15">
      <c r="A3093" s="41" t="s">
        <v>9307</v>
      </c>
      <c r="B3093" s="25" t="s">
        <v>9489</v>
      </c>
      <c r="C3093" s="19" t="s">
        <v>9490</v>
      </c>
      <c r="D3093" s="42" t="str">
        <f t="shared" si="222"/>
        <v>https://rmda.kulib.kyoto-u.ac.jp/item/rb00002938?page=46</v>
      </c>
      <c r="E3093" s="22"/>
      <c r="F3093" s="22"/>
      <c r="G3093" s="22"/>
    </row>
    <row r="3094" spans="1:7" x14ac:dyDescent="0.15">
      <c r="A3094" s="41" t="s">
        <v>9307</v>
      </c>
      <c r="B3094" s="25" t="s">
        <v>9491</v>
      </c>
      <c r="C3094" s="19" t="s">
        <v>9492</v>
      </c>
      <c r="D3094" s="42" t="str">
        <f t="shared" si="222"/>
        <v>https://rmda.kulib.kyoto-u.ac.jp/item/rb00002938?page=46</v>
      </c>
      <c r="E3094" s="22"/>
      <c r="F3094" s="22"/>
      <c r="G3094" s="22"/>
    </row>
    <row r="3095" spans="1:7" x14ac:dyDescent="0.15">
      <c r="A3095" s="41" t="s">
        <v>9307</v>
      </c>
      <c r="B3095" s="25" t="s">
        <v>9493</v>
      </c>
      <c r="C3095" s="19" t="s">
        <v>9494</v>
      </c>
      <c r="D3095" s="42" t="str">
        <f>HYPERLINK("https://rmda.kulib.kyoto-u.ac.jp/item/rb00002938?page=47")</f>
        <v>https://rmda.kulib.kyoto-u.ac.jp/item/rb00002938?page=47</v>
      </c>
      <c r="E3095" s="22"/>
      <c r="F3095" s="22"/>
      <c r="G3095" s="22"/>
    </row>
    <row r="3096" spans="1:7" x14ac:dyDescent="0.15">
      <c r="A3096" s="41" t="s">
        <v>9307</v>
      </c>
      <c r="B3096" s="25" t="s">
        <v>9495</v>
      </c>
      <c r="C3096" s="19" t="s">
        <v>9496</v>
      </c>
      <c r="D3096" s="42" t="str">
        <f>HYPERLINK("https://rmda.kulib.kyoto-u.ac.jp/item/rb00002938?page=47")</f>
        <v>https://rmda.kulib.kyoto-u.ac.jp/item/rb00002938?page=47</v>
      </c>
      <c r="E3096" s="22"/>
      <c r="F3096" s="22"/>
      <c r="G3096" s="22"/>
    </row>
    <row r="3097" spans="1:7" x14ac:dyDescent="0.15">
      <c r="A3097" s="41" t="s">
        <v>9307</v>
      </c>
      <c r="B3097" s="25" t="s">
        <v>9497</v>
      </c>
      <c r="C3097" s="19" t="s">
        <v>9498</v>
      </c>
      <c r="D3097" s="42" t="str">
        <f>HYPERLINK("https://rmda.kulib.kyoto-u.ac.jp/item/rb00002938?page=47")</f>
        <v>https://rmda.kulib.kyoto-u.ac.jp/item/rb00002938?page=47</v>
      </c>
      <c r="E3097" s="22"/>
      <c r="F3097" s="22"/>
      <c r="G3097" s="22"/>
    </row>
    <row r="3098" spans="1:7" x14ac:dyDescent="0.15">
      <c r="A3098" s="41" t="s">
        <v>9307</v>
      </c>
      <c r="B3098" s="25" t="s">
        <v>9499</v>
      </c>
      <c r="C3098" s="19" t="s">
        <v>9500</v>
      </c>
      <c r="D3098" s="42" t="str">
        <f>HYPERLINK("https://rmda.kulib.kyoto-u.ac.jp/item/rb00002938?page=47")</f>
        <v>https://rmda.kulib.kyoto-u.ac.jp/item/rb00002938?page=47</v>
      </c>
      <c r="E3098" s="22"/>
      <c r="F3098" s="22"/>
      <c r="G3098" s="22"/>
    </row>
    <row r="3099" spans="1:7" x14ac:dyDescent="0.15">
      <c r="A3099" s="41" t="s">
        <v>9307</v>
      </c>
      <c r="B3099" s="25" t="s">
        <v>9501</v>
      </c>
      <c r="C3099" s="19" t="s">
        <v>9502</v>
      </c>
      <c r="D3099" s="42" t="str">
        <f>HYPERLINK("https://rmda.kulib.kyoto-u.ac.jp/item/rb00002938?page=47")</f>
        <v>https://rmda.kulib.kyoto-u.ac.jp/item/rb00002938?page=47</v>
      </c>
      <c r="E3099" s="22"/>
      <c r="F3099" s="22"/>
      <c r="G3099" s="22"/>
    </row>
    <row r="3100" spans="1:7" x14ac:dyDescent="0.15">
      <c r="A3100" s="41" t="s">
        <v>9307</v>
      </c>
      <c r="B3100" s="25" t="s">
        <v>9503</v>
      </c>
      <c r="C3100" s="19" t="s">
        <v>9504</v>
      </c>
      <c r="D3100" s="42" t="str">
        <f>HYPERLINK("https://rmda.kulib.kyoto-u.ac.jp/item/rb00002938?page=48")</f>
        <v>https://rmda.kulib.kyoto-u.ac.jp/item/rb00002938?page=48</v>
      </c>
      <c r="E3100" s="22"/>
      <c r="F3100" s="22"/>
      <c r="G3100" s="22"/>
    </row>
    <row r="3101" spans="1:7" x14ac:dyDescent="0.15">
      <c r="A3101" s="41" t="s">
        <v>9307</v>
      </c>
      <c r="B3101" s="25" t="s">
        <v>9505</v>
      </c>
      <c r="C3101" s="19" t="s">
        <v>9506</v>
      </c>
      <c r="D3101" s="42" t="str">
        <f>HYPERLINK("https://rmda.kulib.kyoto-u.ac.jp/item/rb00002938?page=48")</f>
        <v>https://rmda.kulib.kyoto-u.ac.jp/item/rb00002938?page=48</v>
      </c>
      <c r="E3101" s="22"/>
      <c r="F3101" s="22"/>
      <c r="G3101" s="22"/>
    </row>
    <row r="3102" spans="1:7" x14ac:dyDescent="0.15">
      <c r="A3102" s="41" t="s">
        <v>9307</v>
      </c>
      <c r="B3102" s="25" t="s">
        <v>9507</v>
      </c>
      <c r="C3102" s="19" t="s">
        <v>9508</v>
      </c>
      <c r="D3102" s="42" t="str">
        <f>HYPERLINK("https://rmda.kulib.kyoto-u.ac.jp/item/rb00002938?page=49")</f>
        <v>https://rmda.kulib.kyoto-u.ac.jp/item/rb00002938?page=49</v>
      </c>
      <c r="E3102" s="22"/>
      <c r="F3102" s="22"/>
      <c r="G3102" s="22"/>
    </row>
    <row r="3103" spans="1:7" x14ac:dyDescent="0.15">
      <c r="A3103" s="41" t="s">
        <v>9307</v>
      </c>
      <c r="B3103" s="25" t="s">
        <v>9509</v>
      </c>
      <c r="C3103" s="19" t="s">
        <v>9510</v>
      </c>
      <c r="D3103" s="42" t="str">
        <f>HYPERLINK("https://rmda.kulib.kyoto-u.ac.jp/item/rb00002938?page=50")</f>
        <v>https://rmda.kulib.kyoto-u.ac.jp/item/rb00002938?page=50</v>
      </c>
      <c r="E3103" s="22"/>
      <c r="F3103" s="22"/>
      <c r="G3103" s="22"/>
    </row>
    <row r="3104" spans="1:7" x14ac:dyDescent="0.15">
      <c r="A3104" s="41" t="s">
        <v>9307</v>
      </c>
      <c r="B3104" s="25" t="s">
        <v>9511</v>
      </c>
      <c r="C3104" s="19" t="s">
        <v>9512</v>
      </c>
      <c r="D3104" s="42" t="str">
        <f>HYPERLINK("https://rmda.kulib.kyoto-u.ac.jp/item/rb00002938?page=50")</f>
        <v>https://rmda.kulib.kyoto-u.ac.jp/item/rb00002938?page=50</v>
      </c>
      <c r="E3104" s="22"/>
      <c r="F3104" s="22"/>
      <c r="G3104" s="22"/>
    </row>
    <row r="3105" spans="1:7" x14ac:dyDescent="0.15">
      <c r="A3105" s="41" t="s">
        <v>9307</v>
      </c>
      <c r="B3105" s="25" t="s">
        <v>9513</v>
      </c>
      <c r="C3105" s="19" t="s">
        <v>9514</v>
      </c>
      <c r="D3105" s="42" t="str">
        <f>HYPERLINK("https://rmda.kulib.kyoto-u.ac.jp/item/rb00002938?page=50")</f>
        <v>https://rmda.kulib.kyoto-u.ac.jp/item/rb00002938?page=50</v>
      </c>
      <c r="E3105" s="22"/>
      <c r="F3105" s="22"/>
      <c r="G3105" s="22"/>
    </row>
    <row r="3106" spans="1:7" x14ac:dyDescent="0.15">
      <c r="A3106" s="41" t="s">
        <v>9307</v>
      </c>
      <c r="B3106" s="25" t="s">
        <v>9515</v>
      </c>
      <c r="C3106" s="19" t="s">
        <v>9516</v>
      </c>
      <c r="D3106" s="42" t="str">
        <f>HYPERLINK("https://rmda.kulib.kyoto-u.ac.jp/item/rb00002938?page=50")</f>
        <v>https://rmda.kulib.kyoto-u.ac.jp/item/rb00002938?page=50</v>
      </c>
      <c r="E3106" s="22"/>
      <c r="F3106" s="22"/>
      <c r="G3106" s="22"/>
    </row>
    <row r="3107" spans="1:7" x14ac:dyDescent="0.15">
      <c r="A3107" s="41" t="s">
        <v>9307</v>
      </c>
      <c r="B3107" s="25" t="s">
        <v>9517</v>
      </c>
      <c r="C3107" s="19" t="s">
        <v>9518</v>
      </c>
      <c r="D3107" s="42" t="str">
        <f t="shared" ref="D3107:D3115" si="223">HYPERLINK("https://rmda.kulib.kyoto-u.ac.jp/item/rb00002938?page=51")</f>
        <v>https://rmda.kulib.kyoto-u.ac.jp/item/rb00002938?page=51</v>
      </c>
      <c r="E3107" s="22"/>
      <c r="F3107" s="22"/>
      <c r="G3107" s="22"/>
    </row>
    <row r="3108" spans="1:7" x14ac:dyDescent="0.15">
      <c r="A3108" s="41" t="s">
        <v>9307</v>
      </c>
      <c r="B3108" s="25" t="s">
        <v>9519</v>
      </c>
      <c r="C3108" s="19" t="s">
        <v>9520</v>
      </c>
      <c r="D3108" s="42" t="str">
        <f t="shared" si="223"/>
        <v>https://rmda.kulib.kyoto-u.ac.jp/item/rb00002938?page=51</v>
      </c>
      <c r="E3108" s="22"/>
      <c r="F3108" s="22"/>
      <c r="G3108" s="22"/>
    </row>
    <row r="3109" spans="1:7" x14ac:dyDescent="0.15">
      <c r="A3109" s="41" t="s">
        <v>9307</v>
      </c>
      <c r="B3109" s="25" t="s">
        <v>9521</v>
      </c>
      <c r="C3109" s="19" t="s">
        <v>9522</v>
      </c>
      <c r="D3109" s="42" t="str">
        <f t="shared" si="223"/>
        <v>https://rmda.kulib.kyoto-u.ac.jp/item/rb00002938?page=51</v>
      </c>
      <c r="E3109" s="22"/>
      <c r="F3109" s="22"/>
      <c r="G3109" s="22"/>
    </row>
    <row r="3110" spans="1:7" x14ac:dyDescent="0.15">
      <c r="A3110" s="41" t="s">
        <v>9307</v>
      </c>
      <c r="B3110" s="25" t="s">
        <v>9523</v>
      </c>
      <c r="C3110" s="19" t="s">
        <v>9524</v>
      </c>
      <c r="D3110" s="42" t="str">
        <f t="shared" si="223"/>
        <v>https://rmda.kulib.kyoto-u.ac.jp/item/rb00002938?page=51</v>
      </c>
      <c r="E3110" s="22"/>
      <c r="F3110" s="22"/>
      <c r="G3110" s="22"/>
    </row>
    <row r="3111" spans="1:7" x14ac:dyDescent="0.15">
      <c r="A3111" s="41" t="s">
        <v>9307</v>
      </c>
      <c r="B3111" s="25" t="s">
        <v>9525</v>
      </c>
      <c r="C3111" s="19" t="s">
        <v>9526</v>
      </c>
      <c r="D3111" s="42" t="str">
        <f t="shared" si="223"/>
        <v>https://rmda.kulib.kyoto-u.ac.jp/item/rb00002938?page=51</v>
      </c>
      <c r="E3111" s="22"/>
      <c r="F3111" s="22"/>
      <c r="G3111" s="22"/>
    </row>
    <row r="3112" spans="1:7" x14ac:dyDescent="0.15">
      <c r="A3112" s="41" t="s">
        <v>9307</v>
      </c>
      <c r="B3112" s="25" t="s">
        <v>9527</v>
      </c>
      <c r="C3112" s="19" t="s">
        <v>9528</v>
      </c>
      <c r="D3112" s="42" t="str">
        <f t="shared" si="223"/>
        <v>https://rmda.kulib.kyoto-u.ac.jp/item/rb00002938?page=51</v>
      </c>
      <c r="E3112" s="22"/>
      <c r="F3112" s="22"/>
      <c r="G3112" s="22"/>
    </row>
    <row r="3113" spans="1:7" x14ac:dyDescent="0.15">
      <c r="A3113" s="41" t="s">
        <v>9307</v>
      </c>
      <c r="B3113" s="25" t="s">
        <v>9529</v>
      </c>
      <c r="C3113" s="19" t="s">
        <v>9530</v>
      </c>
      <c r="D3113" s="42" t="str">
        <f t="shared" si="223"/>
        <v>https://rmda.kulib.kyoto-u.ac.jp/item/rb00002938?page=51</v>
      </c>
      <c r="E3113" s="22"/>
      <c r="F3113" s="22"/>
      <c r="G3113" s="22"/>
    </row>
    <row r="3114" spans="1:7" x14ac:dyDescent="0.15">
      <c r="A3114" s="41" t="s">
        <v>9307</v>
      </c>
      <c r="B3114" s="25" t="s">
        <v>9531</v>
      </c>
      <c r="C3114" s="19" t="s">
        <v>9532</v>
      </c>
      <c r="D3114" s="42" t="str">
        <f t="shared" si="223"/>
        <v>https://rmda.kulib.kyoto-u.ac.jp/item/rb00002938?page=51</v>
      </c>
      <c r="E3114" s="22"/>
      <c r="F3114" s="22"/>
      <c r="G3114" s="22"/>
    </row>
    <row r="3115" spans="1:7" x14ac:dyDescent="0.15">
      <c r="A3115" s="41" t="s">
        <v>9307</v>
      </c>
      <c r="B3115" s="25" t="s">
        <v>9533</v>
      </c>
      <c r="C3115" s="19" t="s">
        <v>9534</v>
      </c>
      <c r="D3115" s="42" t="str">
        <f t="shared" si="223"/>
        <v>https://rmda.kulib.kyoto-u.ac.jp/item/rb00002938?page=51</v>
      </c>
      <c r="E3115" s="22"/>
      <c r="F3115" s="22"/>
      <c r="G3115" s="22"/>
    </row>
    <row r="3116" spans="1:7" x14ac:dyDescent="0.15">
      <c r="A3116" s="41" t="s">
        <v>9307</v>
      </c>
      <c r="B3116" s="25" t="s">
        <v>9535</v>
      </c>
      <c r="C3116" s="19" t="s">
        <v>9536</v>
      </c>
      <c r="D3116" s="42" t="str">
        <f t="shared" ref="D3116:D3124" si="224">HYPERLINK("https://rmda.kulib.kyoto-u.ac.jp/item/rb00002938?page=52")</f>
        <v>https://rmda.kulib.kyoto-u.ac.jp/item/rb00002938?page=52</v>
      </c>
      <c r="E3116" s="22"/>
      <c r="F3116" s="22"/>
      <c r="G3116" s="22"/>
    </row>
    <row r="3117" spans="1:7" x14ac:dyDescent="0.15">
      <c r="A3117" s="41" t="s">
        <v>9307</v>
      </c>
      <c r="B3117" s="25" t="s">
        <v>9537</v>
      </c>
      <c r="C3117" s="19" t="s">
        <v>9538</v>
      </c>
      <c r="D3117" s="42" t="str">
        <f t="shared" si="224"/>
        <v>https://rmda.kulib.kyoto-u.ac.jp/item/rb00002938?page=52</v>
      </c>
      <c r="E3117" s="22"/>
      <c r="F3117" s="22"/>
      <c r="G3117" s="22"/>
    </row>
    <row r="3118" spans="1:7" x14ac:dyDescent="0.15">
      <c r="A3118" s="41" t="s">
        <v>9307</v>
      </c>
      <c r="B3118" s="25" t="s">
        <v>9539</v>
      </c>
      <c r="C3118" s="19" t="s">
        <v>9540</v>
      </c>
      <c r="D3118" s="42" t="str">
        <f t="shared" si="224"/>
        <v>https://rmda.kulib.kyoto-u.ac.jp/item/rb00002938?page=52</v>
      </c>
      <c r="E3118" s="22"/>
      <c r="F3118" s="22"/>
      <c r="G3118" s="22"/>
    </row>
    <row r="3119" spans="1:7" x14ac:dyDescent="0.15">
      <c r="A3119" s="41" t="s">
        <v>9307</v>
      </c>
      <c r="B3119" s="25" t="s">
        <v>9541</v>
      </c>
      <c r="C3119" s="19" t="s">
        <v>9542</v>
      </c>
      <c r="D3119" s="42" t="str">
        <f t="shared" si="224"/>
        <v>https://rmda.kulib.kyoto-u.ac.jp/item/rb00002938?page=52</v>
      </c>
      <c r="E3119" s="22"/>
      <c r="F3119" s="22"/>
      <c r="G3119" s="22"/>
    </row>
    <row r="3120" spans="1:7" x14ac:dyDescent="0.15">
      <c r="A3120" s="41" t="s">
        <v>9307</v>
      </c>
      <c r="B3120" s="25" t="s">
        <v>9543</v>
      </c>
      <c r="C3120" s="19" t="s">
        <v>9544</v>
      </c>
      <c r="D3120" s="42" t="str">
        <f t="shared" si="224"/>
        <v>https://rmda.kulib.kyoto-u.ac.jp/item/rb00002938?page=52</v>
      </c>
      <c r="E3120" s="22"/>
      <c r="F3120" s="22"/>
      <c r="G3120" s="22"/>
    </row>
    <row r="3121" spans="1:7" x14ac:dyDescent="0.15">
      <c r="A3121" s="41" t="s">
        <v>9307</v>
      </c>
      <c r="B3121" s="25" t="s">
        <v>9545</v>
      </c>
      <c r="C3121" s="19" t="s">
        <v>9546</v>
      </c>
      <c r="D3121" s="42" t="str">
        <f t="shared" si="224"/>
        <v>https://rmda.kulib.kyoto-u.ac.jp/item/rb00002938?page=52</v>
      </c>
      <c r="E3121" s="22"/>
      <c r="F3121" s="22"/>
      <c r="G3121" s="22"/>
    </row>
    <row r="3122" spans="1:7" x14ac:dyDescent="0.15">
      <c r="A3122" s="41" t="s">
        <v>9307</v>
      </c>
      <c r="B3122" s="25" t="s">
        <v>9547</v>
      </c>
      <c r="C3122" s="19" t="s">
        <v>9548</v>
      </c>
      <c r="D3122" s="42" t="str">
        <f t="shared" si="224"/>
        <v>https://rmda.kulib.kyoto-u.ac.jp/item/rb00002938?page=52</v>
      </c>
      <c r="E3122" s="22"/>
      <c r="F3122" s="22"/>
      <c r="G3122" s="22"/>
    </row>
    <row r="3123" spans="1:7" x14ac:dyDescent="0.15">
      <c r="A3123" s="41" t="s">
        <v>9307</v>
      </c>
      <c r="B3123" s="25" t="s">
        <v>9549</v>
      </c>
      <c r="C3123" s="19" t="s">
        <v>9550</v>
      </c>
      <c r="D3123" s="42" t="str">
        <f t="shared" si="224"/>
        <v>https://rmda.kulib.kyoto-u.ac.jp/item/rb00002938?page=52</v>
      </c>
      <c r="E3123" s="22"/>
      <c r="F3123" s="22"/>
      <c r="G3123" s="22"/>
    </row>
    <row r="3124" spans="1:7" x14ac:dyDescent="0.15">
      <c r="A3124" s="41" t="s">
        <v>9307</v>
      </c>
      <c r="B3124" s="25" t="s">
        <v>9551</v>
      </c>
      <c r="C3124" s="19" t="s">
        <v>9552</v>
      </c>
      <c r="D3124" s="42" t="str">
        <f t="shared" si="224"/>
        <v>https://rmda.kulib.kyoto-u.ac.jp/item/rb00002938?page=52</v>
      </c>
      <c r="E3124" s="22"/>
      <c r="F3124" s="22"/>
      <c r="G3124" s="22"/>
    </row>
    <row r="3125" spans="1:7" x14ac:dyDescent="0.15">
      <c r="A3125" s="41" t="s">
        <v>9307</v>
      </c>
      <c r="B3125" s="25" t="s">
        <v>9553</v>
      </c>
      <c r="C3125" s="19" t="s">
        <v>9554</v>
      </c>
      <c r="D3125" s="42" t="str">
        <f>HYPERLINK("https://rmda.kulib.kyoto-u.ac.jp/item/rb00002938?page=53")</f>
        <v>https://rmda.kulib.kyoto-u.ac.jp/item/rb00002938?page=53</v>
      </c>
      <c r="E3125" s="22"/>
      <c r="F3125" s="22"/>
      <c r="G3125" s="22"/>
    </row>
    <row r="3126" spans="1:7" x14ac:dyDescent="0.15">
      <c r="A3126" s="41" t="s">
        <v>9307</v>
      </c>
      <c r="B3126" s="25" t="s">
        <v>9555</v>
      </c>
      <c r="C3126" s="19" t="s">
        <v>9556</v>
      </c>
      <c r="D3126" s="42" t="str">
        <f>HYPERLINK("https://rmda.kulib.kyoto-u.ac.jp/item/rb00002938?page=53")</f>
        <v>https://rmda.kulib.kyoto-u.ac.jp/item/rb00002938?page=53</v>
      </c>
      <c r="E3126" s="22"/>
      <c r="F3126" s="22"/>
      <c r="G3126" s="22"/>
    </row>
    <row r="3127" spans="1:7" x14ac:dyDescent="0.15">
      <c r="A3127" s="41" t="s">
        <v>9307</v>
      </c>
      <c r="B3127" s="25" t="s">
        <v>9557</v>
      </c>
      <c r="C3127" s="19" t="s">
        <v>9558</v>
      </c>
      <c r="D3127" s="42" t="str">
        <f>HYPERLINK("https://rmda.kulib.kyoto-u.ac.jp/item/rb00002938?page=53")</f>
        <v>https://rmda.kulib.kyoto-u.ac.jp/item/rb00002938?page=53</v>
      </c>
      <c r="E3127" s="22"/>
      <c r="F3127" s="22"/>
      <c r="G3127" s="22"/>
    </row>
    <row r="3128" spans="1:7" x14ac:dyDescent="0.15">
      <c r="A3128" s="41" t="s">
        <v>9307</v>
      </c>
      <c r="B3128" s="25" t="s">
        <v>9559</v>
      </c>
      <c r="C3128" s="19" t="s">
        <v>9560</v>
      </c>
      <c r="D3128" s="42" t="str">
        <f>HYPERLINK("https://rmda.kulib.kyoto-u.ac.jp/item/rb00002938?page=55")</f>
        <v>https://rmda.kulib.kyoto-u.ac.jp/item/rb00002938?page=55</v>
      </c>
      <c r="E3128" s="22"/>
      <c r="F3128" s="22"/>
      <c r="G3128" s="22"/>
    </row>
    <row r="3129" spans="1:7" x14ac:dyDescent="0.15">
      <c r="A3129" s="41" t="s">
        <v>9307</v>
      </c>
      <c r="B3129" s="25" t="s">
        <v>9561</v>
      </c>
      <c r="C3129" s="19" t="s">
        <v>9562</v>
      </c>
      <c r="D3129" s="42" t="str">
        <f>HYPERLINK("https://rmda.kulib.kyoto-u.ac.jp/item/rb00002938?page=55")</f>
        <v>https://rmda.kulib.kyoto-u.ac.jp/item/rb00002938?page=55</v>
      </c>
      <c r="E3129" s="22"/>
      <c r="F3129" s="22"/>
      <c r="G3129" s="22"/>
    </row>
    <row r="3130" spans="1:7" x14ac:dyDescent="0.15">
      <c r="A3130" s="41" t="s">
        <v>9307</v>
      </c>
      <c r="B3130" s="25" t="s">
        <v>9563</v>
      </c>
      <c r="C3130" s="19" t="s">
        <v>9564</v>
      </c>
      <c r="D3130" s="42" t="str">
        <f>HYPERLINK("https://rmda.kulib.kyoto-u.ac.jp/item/rb00002938?page=55")</f>
        <v>https://rmda.kulib.kyoto-u.ac.jp/item/rb00002938?page=55</v>
      </c>
      <c r="E3130" s="22"/>
      <c r="F3130" s="22"/>
      <c r="G3130" s="22"/>
    </row>
    <row r="3131" spans="1:7" x14ac:dyDescent="0.15">
      <c r="A3131" s="41" t="s">
        <v>9307</v>
      </c>
      <c r="B3131" s="25" t="s">
        <v>9565</v>
      </c>
      <c r="C3131" s="19" t="s">
        <v>9566</v>
      </c>
      <c r="D3131" s="42" t="str">
        <f>HYPERLINK("https://rmda.kulib.kyoto-u.ac.jp/item/rb00002938?page=55")</f>
        <v>https://rmda.kulib.kyoto-u.ac.jp/item/rb00002938?page=55</v>
      </c>
      <c r="E3131" s="22"/>
      <c r="F3131" s="22"/>
      <c r="G3131" s="22"/>
    </row>
    <row r="3132" spans="1:7" x14ac:dyDescent="0.15">
      <c r="A3132" s="41" t="s">
        <v>9307</v>
      </c>
      <c r="B3132" s="25" t="s">
        <v>9567</v>
      </c>
      <c r="C3132" s="19" t="s">
        <v>9568</v>
      </c>
      <c r="D3132" s="42" t="str">
        <f>HYPERLINK("https://rmda.kulib.kyoto-u.ac.jp/item/rb00002938?page=55")</f>
        <v>https://rmda.kulib.kyoto-u.ac.jp/item/rb00002938?page=55</v>
      </c>
      <c r="E3132" s="22"/>
      <c r="F3132" s="22"/>
      <c r="G3132" s="22"/>
    </row>
    <row r="3133" spans="1:7" x14ac:dyDescent="0.15">
      <c r="A3133" s="41" t="s">
        <v>9307</v>
      </c>
      <c r="B3133" s="25" t="s">
        <v>9569</v>
      </c>
      <c r="C3133" s="19" t="s">
        <v>9570</v>
      </c>
      <c r="D3133" s="42" t="str">
        <f>HYPERLINK("https://rmda.kulib.kyoto-u.ac.jp/item/rb00002938?page=56")</f>
        <v>https://rmda.kulib.kyoto-u.ac.jp/item/rb00002938?page=56</v>
      </c>
      <c r="E3133" s="22"/>
      <c r="F3133" s="22"/>
      <c r="G3133" s="22"/>
    </row>
    <row r="3134" spans="1:7" x14ac:dyDescent="0.15">
      <c r="A3134" s="41" t="s">
        <v>9307</v>
      </c>
      <c r="B3134" s="25" t="s">
        <v>9571</v>
      </c>
      <c r="C3134" s="19" t="s">
        <v>9572</v>
      </c>
      <c r="D3134" s="42" t="str">
        <f>HYPERLINK("https://rmda.kulib.kyoto-u.ac.jp/item/rb00002938?page=56")</f>
        <v>https://rmda.kulib.kyoto-u.ac.jp/item/rb00002938?page=56</v>
      </c>
      <c r="E3134" s="22"/>
      <c r="F3134" s="22"/>
      <c r="G3134" s="22"/>
    </row>
    <row r="3135" spans="1:7" x14ac:dyDescent="0.15">
      <c r="A3135" s="41" t="s">
        <v>9307</v>
      </c>
      <c r="B3135" s="25" t="s">
        <v>9573</v>
      </c>
      <c r="C3135" s="19" t="s">
        <v>9574</v>
      </c>
      <c r="D3135" s="42" t="str">
        <f>HYPERLINK("https://rmda.kulib.kyoto-u.ac.jp/item/rb00002938?page=56")</f>
        <v>https://rmda.kulib.kyoto-u.ac.jp/item/rb00002938?page=56</v>
      </c>
      <c r="E3135" s="22"/>
      <c r="F3135" s="22"/>
      <c r="G3135" s="22"/>
    </row>
    <row r="3136" spans="1:7" x14ac:dyDescent="0.15">
      <c r="A3136" s="41" t="s">
        <v>9307</v>
      </c>
      <c r="B3136" s="25" t="s">
        <v>9575</v>
      </c>
      <c r="C3136" s="19" t="s">
        <v>9576</v>
      </c>
      <c r="D3136" s="42" t="str">
        <f>HYPERLINK("https://rmda.kulib.kyoto-u.ac.jp/item/rb00002938?page=56")</f>
        <v>https://rmda.kulib.kyoto-u.ac.jp/item/rb00002938?page=56</v>
      </c>
      <c r="E3136" s="22"/>
      <c r="F3136" s="22"/>
      <c r="G3136" s="22"/>
    </row>
    <row r="3137" spans="1:7" x14ac:dyDescent="0.15">
      <c r="A3137" s="41" t="s">
        <v>9307</v>
      </c>
      <c r="B3137" s="25" t="s">
        <v>9577</v>
      </c>
      <c r="C3137" s="19" t="s">
        <v>9578</v>
      </c>
      <c r="D3137" s="42" t="str">
        <f>HYPERLINK("https://rmda.kulib.kyoto-u.ac.jp/item/rb00002938?page=56")</f>
        <v>https://rmda.kulib.kyoto-u.ac.jp/item/rb00002938?page=56</v>
      </c>
      <c r="E3137" s="22"/>
      <c r="F3137" s="22"/>
      <c r="G3137" s="22"/>
    </row>
    <row r="3138" spans="1:7" x14ac:dyDescent="0.15">
      <c r="A3138" s="41" t="s">
        <v>9307</v>
      </c>
      <c r="B3138" s="25" t="s">
        <v>9579</v>
      </c>
      <c r="C3138" s="19" t="s">
        <v>9580</v>
      </c>
      <c r="D3138" s="42" t="str">
        <f>HYPERLINK("https://rmda.kulib.kyoto-u.ac.jp/item/rb00002938?page=57")</f>
        <v>https://rmda.kulib.kyoto-u.ac.jp/item/rb00002938?page=57</v>
      </c>
      <c r="E3138" s="22"/>
      <c r="F3138" s="22"/>
      <c r="G3138" s="22"/>
    </row>
    <row r="3139" spans="1:7" x14ac:dyDescent="0.15">
      <c r="A3139" s="41" t="s">
        <v>9307</v>
      </c>
      <c r="B3139" s="25" t="s">
        <v>9581</v>
      </c>
      <c r="C3139" s="19" t="s">
        <v>9582</v>
      </c>
      <c r="D3139" s="42" t="str">
        <f t="shared" ref="D3139:D3146" si="225">HYPERLINK("https://rmda.kulib.kyoto-u.ac.jp/item/rb00002938?page=59")</f>
        <v>https://rmda.kulib.kyoto-u.ac.jp/item/rb00002938?page=59</v>
      </c>
      <c r="E3139" s="22"/>
      <c r="F3139" s="22"/>
      <c r="G3139" s="22"/>
    </row>
    <row r="3140" spans="1:7" x14ac:dyDescent="0.15">
      <c r="A3140" s="41" t="s">
        <v>9307</v>
      </c>
      <c r="B3140" s="25" t="s">
        <v>9583</v>
      </c>
      <c r="C3140" s="19" t="s">
        <v>9584</v>
      </c>
      <c r="D3140" s="42" t="str">
        <f t="shared" si="225"/>
        <v>https://rmda.kulib.kyoto-u.ac.jp/item/rb00002938?page=59</v>
      </c>
      <c r="E3140" s="22"/>
      <c r="F3140" s="22"/>
      <c r="G3140" s="22"/>
    </row>
    <row r="3141" spans="1:7" x14ac:dyDescent="0.15">
      <c r="A3141" s="41" t="s">
        <v>9307</v>
      </c>
      <c r="B3141" s="25" t="s">
        <v>9585</v>
      </c>
      <c r="C3141" s="19" t="s">
        <v>9586</v>
      </c>
      <c r="D3141" s="42" t="str">
        <f t="shared" si="225"/>
        <v>https://rmda.kulib.kyoto-u.ac.jp/item/rb00002938?page=59</v>
      </c>
      <c r="E3141" s="22"/>
      <c r="F3141" s="22"/>
      <c r="G3141" s="22"/>
    </row>
    <row r="3142" spans="1:7" x14ac:dyDescent="0.15">
      <c r="A3142" s="41" t="s">
        <v>9307</v>
      </c>
      <c r="B3142" s="25" t="s">
        <v>9587</v>
      </c>
      <c r="C3142" s="19" t="s">
        <v>9588</v>
      </c>
      <c r="D3142" s="42" t="str">
        <f t="shared" si="225"/>
        <v>https://rmda.kulib.kyoto-u.ac.jp/item/rb00002938?page=59</v>
      </c>
      <c r="E3142" s="22"/>
      <c r="F3142" s="22"/>
      <c r="G3142" s="22"/>
    </row>
    <row r="3143" spans="1:7" x14ac:dyDescent="0.15">
      <c r="A3143" s="41" t="s">
        <v>9307</v>
      </c>
      <c r="B3143" s="25" t="s">
        <v>9589</v>
      </c>
      <c r="C3143" s="19" t="s">
        <v>9590</v>
      </c>
      <c r="D3143" s="42" t="str">
        <f t="shared" si="225"/>
        <v>https://rmda.kulib.kyoto-u.ac.jp/item/rb00002938?page=59</v>
      </c>
      <c r="E3143" s="22"/>
      <c r="F3143" s="22"/>
      <c r="G3143" s="22"/>
    </row>
    <row r="3144" spans="1:7" x14ac:dyDescent="0.15">
      <c r="A3144" s="41" t="s">
        <v>9307</v>
      </c>
      <c r="B3144" s="25" t="s">
        <v>9591</v>
      </c>
      <c r="C3144" s="19" t="s">
        <v>9592</v>
      </c>
      <c r="D3144" s="42" t="str">
        <f t="shared" si="225"/>
        <v>https://rmda.kulib.kyoto-u.ac.jp/item/rb00002938?page=59</v>
      </c>
      <c r="E3144" s="22"/>
      <c r="F3144" s="22"/>
      <c r="G3144" s="22"/>
    </row>
    <row r="3145" spans="1:7" x14ac:dyDescent="0.15">
      <c r="A3145" s="41" t="s">
        <v>9307</v>
      </c>
      <c r="B3145" s="25" t="s">
        <v>9593</v>
      </c>
      <c r="C3145" s="19" t="s">
        <v>9594</v>
      </c>
      <c r="D3145" s="42" t="str">
        <f t="shared" si="225"/>
        <v>https://rmda.kulib.kyoto-u.ac.jp/item/rb00002938?page=59</v>
      </c>
      <c r="E3145" s="22"/>
      <c r="F3145" s="22"/>
      <c r="G3145" s="22"/>
    </row>
    <row r="3146" spans="1:7" x14ac:dyDescent="0.15">
      <c r="A3146" s="41" t="s">
        <v>9307</v>
      </c>
      <c r="B3146" s="25" t="s">
        <v>9595</v>
      </c>
      <c r="C3146" s="19" t="s">
        <v>9596</v>
      </c>
      <c r="D3146" s="42" t="str">
        <f t="shared" si="225"/>
        <v>https://rmda.kulib.kyoto-u.ac.jp/item/rb00002938?page=59</v>
      </c>
      <c r="E3146" s="22"/>
      <c r="F3146" s="22"/>
      <c r="G3146" s="22"/>
    </row>
    <row r="3147" spans="1:7" x14ac:dyDescent="0.15">
      <c r="A3147" s="41" t="s">
        <v>9307</v>
      </c>
      <c r="B3147" s="25" t="s">
        <v>9597</v>
      </c>
      <c r="C3147" s="19" t="s">
        <v>9598</v>
      </c>
      <c r="D3147" s="42" t="str">
        <f>HYPERLINK("https://rmda.kulib.kyoto-u.ac.jp/item/rb00002938?page=60")</f>
        <v>https://rmda.kulib.kyoto-u.ac.jp/item/rb00002938?page=60</v>
      </c>
      <c r="E3147" s="22"/>
      <c r="F3147" s="22"/>
      <c r="G3147" s="22"/>
    </row>
    <row r="3148" spans="1:7" x14ac:dyDescent="0.15">
      <c r="A3148" s="41" t="s">
        <v>9307</v>
      </c>
      <c r="B3148" s="25" t="s">
        <v>9599</v>
      </c>
      <c r="C3148" s="19" t="s">
        <v>9600</v>
      </c>
      <c r="D3148" s="42" t="str">
        <f>HYPERLINK("https://rmda.kulib.kyoto-u.ac.jp/item/rb00002938?page=60")</f>
        <v>https://rmda.kulib.kyoto-u.ac.jp/item/rb00002938?page=60</v>
      </c>
      <c r="E3148" s="22"/>
      <c r="F3148" s="22"/>
      <c r="G3148" s="22"/>
    </row>
    <row r="3149" spans="1:7" x14ac:dyDescent="0.15">
      <c r="A3149" s="41" t="s">
        <v>9307</v>
      </c>
      <c r="B3149" s="25" t="s">
        <v>9601</v>
      </c>
      <c r="C3149" s="19" t="s">
        <v>9602</v>
      </c>
      <c r="D3149" s="42" t="str">
        <f>HYPERLINK("https://rmda.kulib.kyoto-u.ac.jp/item/rb00002938?page=61")</f>
        <v>https://rmda.kulib.kyoto-u.ac.jp/item/rb00002938?page=61</v>
      </c>
      <c r="E3149" s="22"/>
      <c r="F3149" s="22"/>
      <c r="G3149" s="22"/>
    </row>
    <row r="3150" spans="1:7" x14ac:dyDescent="0.15">
      <c r="A3150" s="41" t="s">
        <v>9307</v>
      </c>
      <c r="B3150" s="25" t="s">
        <v>9603</v>
      </c>
      <c r="C3150" s="19" t="s">
        <v>9604</v>
      </c>
      <c r="D3150" s="42" t="str">
        <f>HYPERLINK("https://rmda.kulib.kyoto-u.ac.jp/item/rb00002938?page=61")</f>
        <v>https://rmda.kulib.kyoto-u.ac.jp/item/rb00002938?page=61</v>
      </c>
      <c r="E3150" s="22"/>
      <c r="F3150" s="22"/>
      <c r="G3150" s="22"/>
    </row>
    <row r="3151" spans="1:7" x14ac:dyDescent="0.15">
      <c r="A3151" s="41" t="s">
        <v>9307</v>
      </c>
      <c r="B3151" s="25" t="s">
        <v>9605</v>
      </c>
      <c r="C3151" s="19" t="s">
        <v>9606</v>
      </c>
      <c r="D3151" s="42" t="str">
        <f>HYPERLINK("https://rmda.kulib.kyoto-u.ac.jp/item/rb00002938?page=61")</f>
        <v>https://rmda.kulib.kyoto-u.ac.jp/item/rb00002938?page=61</v>
      </c>
      <c r="E3151" s="22"/>
      <c r="F3151" s="22"/>
      <c r="G3151" s="22"/>
    </row>
    <row r="3152" spans="1:7" x14ac:dyDescent="0.15">
      <c r="A3152" s="41" t="s">
        <v>9307</v>
      </c>
      <c r="B3152" s="25" t="s">
        <v>9607</v>
      </c>
      <c r="C3152" s="19" t="s">
        <v>9608</v>
      </c>
      <c r="D3152" s="42" t="str">
        <f>HYPERLINK("https://rmda.kulib.kyoto-u.ac.jp/item/rb00002938?page=62")</f>
        <v>https://rmda.kulib.kyoto-u.ac.jp/item/rb00002938?page=62</v>
      </c>
      <c r="E3152" s="22"/>
      <c r="F3152" s="22"/>
      <c r="G3152" s="22"/>
    </row>
    <row r="3153" spans="1:7" x14ac:dyDescent="0.15">
      <c r="A3153" s="41" t="s">
        <v>9307</v>
      </c>
      <c r="B3153" s="25" t="s">
        <v>9609</v>
      </c>
      <c r="C3153" s="19" t="s">
        <v>9610</v>
      </c>
      <c r="D3153" s="42" t="str">
        <f>HYPERLINK("https://rmda.kulib.kyoto-u.ac.jp/item/rb00002938?page=62")</f>
        <v>https://rmda.kulib.kyoto-u.ac.jp/item/rb00002938?page=62</v>
      </c>
      <c r="E3153" s="22"/>
      <c r="F3153" s="22"/>
      <c r="G3153" s="22"/>
    </row>
    <row r="3154" spans="1:7" x14ac:dyDescent="0.15">
      <c r="A3154" s="41" t="s">
        <v>9307</v>
      </c>
      <c r="B3154" s="25" t="s">
        <v>9611</v>
      </c>
      <c r="C3154" s="19" t="s">
        <v>9612</v>
      </c>
      <c r="D3154" s="42" t="str">
        <f>HYPERLINK("https://rmda.kulib.kyoto-u.ac.jp/item/rb00002938?page=62")</f>
        <v>https://rmda.kulib.kyoto-u.ac.jp/item/rb00002938?page=62</v>
      </c>
      <c r="E3154" s="22"/>
      <c r="F3154" s="22"/>
      <c r="G3154" s="22"/>
    </row>
    <row r="3155" spans="1:7" x14ac:dyDescent="0.15">
      <c r="A3155" s="41" t="s">
        <v>9307</v>
      </c>
      <c r="B3155" s="25" t="s">
        <v>9613</v>
      </c>
      <c r="C3155" s="19" t="s">
        <v>9614</v>
      </c>
      <c r="D3155" s="42" t="str">
        <f>HYPERLINK("https://rmda.kulib.kyoto-u.ac.jp/item/rb00002938?page=62")</f>
        <v>https://rmda.kulib.kyoto-u.ac.jp/item/rb00002938?page=62</v>
      </c>
      <c r="E3155" s="22"/>
      <c r="F3155" s="22"/>
      <c r="G3155" s="22"/>
    </row>
    <row r="3156" spans="1:7" x14ac:dyDescent="0.15">
      <c r="A3156" s="41" t="s">
        <v>9307</v>
      </c>
      <c r="B3156" s="25" t="s">
        <v>6769</v>
      </c>
      <c r="C3156" s="19"/>
      <c r="D3156" s="42" t="str">
        <f>HYPERLINK("https://rmda.kulib.kyoto-u.ac.jp/item/rb00002938?page=66")</f>
        <v>https://rmda.kulib.kyoto-u.ac.jp/item/rb00002938?page=66</v>
      </c>
      <c r="E3156" s="22"/>
      <c r="F3156" s="22"/>
      <c r="G3156" s="22"/>
    </row>
    <row r="3157" spans="1:7" x14ac:dyDescent="0.15">
      <c r="A3157" s="41" t="s">
        <v>9307</v>
      </c>
      <c r="B3157" s="25" t="s">
        <v>9615</v>
      </c>
      <c r="C3157" s="19" t="s">
        <v>9616</v>
      </c>
      <c r="D3157" s="42" t="str">
        <f>HYPERLINK("https://rmda.kulib.kyoto-u.ac.jp/item/rb00002938?page=74")</f>
        <v>https://rmda.kulib.kyoto-u.ac.jp/item/rb00002938?page=74</v>
      </c>
      <c r="E3157" s="22"/>
      <c r="F3157" s="22"/>
      <c r="G3157" s="22"/>
    </row>
    <row r="3158" spans="1:7" x14ac:dyDescent="0.15">
      <c r="A3158" s="41" t="s">
        <v>9307</v>
      </c>
      <c r="B3158" s="25" t="s">
        <v>9617</v>
      </c>
      <c r="C3158" s="19" t="s">
        <v>9618</v>
      </c>
      <c r="D3158" s="42" t="str">
        <f>HYPERLINK("https://rmda.kulib.kyoto-u.ac.jp/item/rb00002938?page=85")</f>
        <v>https://rmda.kulib.kyoto-u.ac.jp/item/rb00002938?page=85</v>
      </c>
      <c r="E3158" s="22"/>
      <c r="F3158" s="22"/>
      <c r="G3158" s="22"/>
    </row>
    <row r="3159" spans="1:7" x14ac:dyDescent="0.15">
      <c r="A3159" s="41" t="s">
        <v>9307</v>
      </c>
      <c r="B3159" s="25" t="s">
        <v>9619</v>
      </c>
      <c r="C3159" s="19" t="s">
        <v>9620</v>
      </c>
      <c r="D3159" s="42" t="str">
        <f t="shared" ref="D3159:D3166" si="226">HYPERLINK("https://rmda.kulib.kyoto-u.ac.jp/item/rb00002938?page=86")</f>
        <v>https://rmda.kulib.kyoto-u.ac.jp/item/rb00002938?page=86</v>
      </c>
      <c r="E3159" s="22"/>
      <c r="F3159" s="22"/>
      <c r="G3159" s="22"/>
    </row>
    <row r="3160" spans="1:7" x14ac:dyDescent="0.15">
      <c r="A3160" s="41" t="s">
        <v>9307</v>
      </c>
      <c r="B3160" s="25" t="s">
        <v>9621</v>
      </c>
      <c r="C3160" s="19" t="s">
        <v>9622</v>
      </c>
      <c r="D3160" s="42" t="str">
        <f t="shared" si="226"/>
        <v>https://rmda.kulib.kyoto-u.ac.jp/item/rb00002938?page=86</v>
      </c>
      <c r="E3160" s="22"/>
      <c r="F3160" s="22"/>
      <c r="G3160" s="22"/>
    </row>
    <row r="3161" spans="1:7" x14ac:dyDescent="0.15">
      <c r="A3161" s="41" t="s">
        <v>9307</v>
      </c>
      <c r="B3161" s="25" t="s">
        <v>9623</v>
      </c>
      <c r="C3161" s="19" t="s">
        <v>9624</v>
      </c>
      <c r="D3161" s="42" t="str">
        <f t="shared" si="226"/>
        <v>https://rmda.kulib.kyoto-u.ac.jp/item/rb00002938?page=86</v>
      </c>
      <c r="E3161" s="22"/>
      <c r="F3161" s="22"/>
      <c r="G3161" s="22"/>
    </row>
    <row r="3162" spans="1:7" x14ac:dyDescent="0.15">
      <c r="A3162" s="41" t="s">
        <v>9307</v>
      </c>
      <c r="B3162" s="25" t="s">
        <v>9625</v>
      </c>
      <c r="C3162" s="19" t="s">
        <v>9626</v>
      </c>
      <c r="D3162" s="42" t="str">
        <f t="shared" si="226"/>
        <v>https://rmda.kulib.kyoto-u.ac.jp/item/rb00002938?page=86</v>
      </c>
      <c r="E3162" s="22"/>
      <c r="F3162" s="22"/>
      <c r="G3162" s="22"/>
    </row>
    <row r="3163" spans="1:7" ht="18.75" x14ac:dyDescent="0.15">
      <c r="A3163" s="41" t="s">
        <v>9307</v>
      </c>
      <c r="B3163" s="25" t="s">
        <v>9627</v>
      </c>
      <c r="C3163" s="19" t="s">
        <v>9628</v>
      </c>
      <c r="D3163" s="42" t="str">
        <f t="shared" si="226"/>
        <v>https://rmda.kulib.kyoto-u.ac.jp/item/rb00002938?page=86</v>
      </c>
      <c r="E3163" s="22"/>
      <c r="F3163" s="22"/>
      <c r="G3163" s="22"/>
    </row>
    <row r="3164" spans="1:7" x14ac:dyDescent="0.15">
      <c r="A3164" s="41" t="s">
        <v>9307</v>
      </c>
      <c r="B3164" s="25" t="s">
        <v>9629</v>
      </c>
      <c r="C3164" s="19" t="s">
        <v>9630</v>
      </c>
      <c r="D3164" s="42" t="str">
        <f t="shared" si="226"/>
        <v>https://rmda.kulib.kyoto-u.ac.jp/item/rb00002938?page=86</v>
      </c>
      <c r="E3164" s="22"/>
      <c r="F3164" s="22"/>
      <c r="G3164" s="22"/>
    </row>
    <row r="3165" spans="1:7" x14ac:dyDescent="0.15">
      <c r="A3165" s="41" t="s">
        <v>9307</v>
      </c>
      <c r="B3165" s="25" t="s">
        <v>9631</v>
      </c>
      <c r="C3165" s="19" t="s">
        <v>9632</v>
      </c>
      <c r="D3165" s="42" t="str">
        <f t="shared" si="226"/>
        <v>https://rmda.kulib.kyoto-u.ac.jp/item/rb00002938?page=86</v>
      </c>
      <c r="E3165" s="22"/>
      <c r="F3165" s="22"/>
      <c r="G3165" s="22"/>
    </row>
    <row r="3166" spans="1:7" x14ac:dyDescent="0.15">
      <c r="A3166" s="41" t="s">
        <v>9307</v>
      </c>
      <c r="B3166" s="25" t="s">
        <v>9633</v>
      </c>
      <c r="C3166" s="19" t="s">
        <v>9634</v>
      </c>
      <c r="D3166" s="42" t="str">
        <f t="shared" si="226"/>
        <v>https://rmda.kulib.kyoto-u.ac.jp/item/rb00002938?page=86</v>
      </c>
      <c r="E3166" s="22"/>
      <c r="F3166" s="22"/>
      <c r="G3166" s="22"/>
    </row>
    <row r="3167" spans="1:7" x14ac:dyDescent="0.15">
      <c r="A3167" s="41" t="s">
        <v>9307</v>
      </c>
      <c r="B3167" s="25" t="s">
        <v>9635</v>
      </c>
      <c r="C3167" s="19" t="s">
        <v>9636</v>
      </c>
      <c r="D3167" s="42" t="str">
        <f t="shared" ref="D3167:D3175" si="227">HYPERLINK("https://rmda.kulib.kyoto-u.ac.jp/item/rb00002938?page=87")</f>
        <v>https://rmda.kulib.kyoto-u.ac.jp/item/rb00002938?page=87</v>
      </c>
      <c r="E3167" s="22"/>
      <c r="F3167" s="22"/>
      <c r="G3167" s="22"/>
    </row>
    <row r="3168" spans="1:7" x14ac:dyDescent="0.15">
      <c r="A3168" s="41" t="s">
        <v>9307</v>
      </c>
      <c r="B3168" s="25" t="s">
        <v>9637</v>
      </c>
      <c r="C3168" s="19" t="s">
        <v>9638</v>
      </c>
      <c r="D3168" s="42" t="str">
        <f t="shared" si="227"/>
        <v>https://rmda.kulib.kyoto-u.ac.jp/item/rb00002938?page=87</v>
      </c>
      <c r="E3168" s="22"/>
      <c r="F3168" s="22"/>
      <c r="G3168" s="22"/>
    </row>
    <row r="3169" spans="1:7" x14ac:dyDescent="0.15">
      <c r="A3169" s="41" t="s">
        <v>9307</v>
      </c>
      <c r="B3169" s="25" t="s">
        <v>9639</v>
      </c>
      <c r="C3169" s="19" t="s">
        <v>9640</v>
      </c>
      <c r="D3169" s="42" t="str">
        <f t="shared" si="227"/>
        <v>https://rmda.kulib.kyoto-u.ac.jp/item/rb00002938?page=87</v>
      </c>
      <c r="E3169" s="22"/>
      <c r="F3169" s="22"/>
      <c r="G3169" s="22"/>
    </row>
    <row r="3170" spans="1:7" x14ac:dyDescent="0.15">
      <c r="A3170" s="41" t="s">
        <v>9307</v>
      </c>
      <c r="B3170" s="25" t="s">
        <v>9641</v>
      </c>
      <c r="C3170" s="19" t="s">
        <v>9642</v>
      </c>
      <c r="D3170" s="42" t="str">
        <f t="shared" si="227"/>
        <v>https://rmda.kulib.kyoto-u.ac.jp/item/rb00002938?page=87</v>
      </c>
      <c r="E3170" s="22"/>
      <c r="F3170" s="22"/>
      <c r="G3170" s="22"/>
    </row>
    <row r="3171" spans="1:7" x14ac:dyDescent="0.15">
      <c r="A3171" s="41" t="s">
        <v>9307</v>
      </c>
      <c r="B3171" s="25" t="s">
        <v>9643</v>
      </c>
      <c r="C3171" s="19" t="s">
        <v>9644</v>
      </c>
      <c r="D3171" s="42" t="str">
        <f t="shared" si="227"/>
        <v>https://rmda.kulib.kyoto-u.ac.jp/item/rb00002938?page=87</v>
      </c>
      <c r="E3171" s="22"/>
      <c r="F3171" s="22"/>
      <c r="G3171" s="22"/>
    </row>
    <row r="3172" spans="1:7" x14ac:dyDescent="0.15">
      <c r="A3172" s="41" t="s">
        <v>9307</v>
      </c>
      <c r="B3172" s="25" t="s">
        <v>9645</v>
      </c>
      <c r="C3172" s="19" t="s">
        <v>9646</v>
      </c>
      <c r="D3172" s="42" t="str">
        <f t="shared" si="227"/>
        <v>https://rmda.kulib.kyoto-u.ac.jp/item/rb00002938?page=87</v>
      </c>
      <c r="E3172" s="22"/>
      <c r="F3172" s="22"/>
      <c r="G3172" s="22"/>
    </row>
    <row r="3173" spans="1:7" x14ac:dyDescent="0.15">
      <c r="A3173" s="41" t="s">
        <v>9307</v>
      </c>
      <c r="B3173" s="25" t="s">
        <v>9647</v>
      </c>
      <c r="C3173" s="19" t="s">
        <v>9648</v>
      </c>
      <c r="D3173" s="42" t="str">
        <f t="shared" si="227"/>
        <v>https://rmda.kulib.kyoto-u.ac.jp/item/rb00002938?page=87</v>
      </c>
      <c r="E3173" s="22"/>
      <c r="F3173" s="22"/>
      <c r="G3173" s="22"/>
    </row>
    <row r="3174" spans="1:7" x14ac:dyDescent="0.15">
      <c r="A3174" s="41" t="s">
        <v>9307</v>
      </c>
      <c r="B3174" s="25" t="s">
        <v>9649</v>
      </c>
      <c r="C3174" s="19" t="s">
        <v>9650</v>
      </c>
      <c r="D3174" s="42" t="str">
        <f t="shared" si="227"/>
        <v>https://rmda.kulib.kyoto-u.ac.jp/item/rb00002938?page=87</v>
      </c>
      <c r="E3174" s="22"/>
      <c r="F3174" s="22"/>
      <c r="G3174" s="22"/>
    </row>
    <row r="3175" spans="1:7" x14ac:dyDescent="0.15">
      <c r="A3175" s="41" t="s">
        <v>9307</v>
      </c>
      <c r="B3175" s="25" t="s">
        <v>9651</v>
      </c>
      <c r="C3175" s="19" t="s">
        <v>9652</v>
      </c>
      <c r="D3175" s="42" t="str">
        <f t="shared" si="227"/>
        <v>https://rmda.kulib.kyoto-u.ac.jp/item/rb00002938?page=87</v>
      </c>
      <c r="E3175" s="22"/>
      <c r="F3175" s="22"/>
      <c r="G3175" s="22"/>
    </row>
    <row r="3176" spans="1:7" x14ac:dyDescent="0.15">
      <c r="A3176" s="41" t="s">
        <v>9307</v>
      </c>
      <c r="B3176" s="25" t="s">
        <v>9653</v>
      </c>
      <c r="C3176" s="19" t="s">
        <v>9654</v>
      </c>
      <c r="D3176" s="42" t="str">
        <f t="shared" ref="D3176:D3182" si="228">HYPERLINK("https://rmda.kulib.kyoto-u.ac.jp/item/rb00002938?page=88")</f>
        <v>https://rmda.kulib.kyoto-u.ac.jp/item/rb00002938?page=88</v>
      </c>
      <c r="E3176" s="22"/>
      <c r="F3176" s="22"/>
      <c r="G3176" s="22"/>
    </row>
    <row r="3177" spans="1:7" x14ac:dyDescent="0.15">
      <c r="A3177" s="41" t="s">
        <v>9307</v>
      </c>
      <c r="B3177" s="25" t="s">
        <v>9655</v>
      </c>
      <c r="C3177" s="19" t="s">
        <v>9656</v>
      </c>
      <c r="D3177" s="42" t="str">
        <f t="shared" si="228"/>
        <v>https://rmda.kulib.kyoto-u.ac.jp/item/rb00002938?page=88</v>
      </c>
      <c r="E3177" s="22"/>
      <c r="F3177" s="22"/>
      <c r="G3177" s="22"/>
    </row>
    <row r="3178" spans="1:7" x14ac:dyDescent="0.15">
      <c r="A3178" s="41" t="s">
        <v>9307</v>
      </c>
      <c r="B3178" s="25" t="s">
        <v>9657</v>
      </c>
      <c r="C3178" s="19" t="s">
        <v>9658</v>
      </c>
      <c r="D3178" s="42" t="str">
        <f t="shared" si="228"/>
        <v>https://rmda.kulib.kyoto-u.ac.jp/item/rb00002938?page=88</v>
      </c>
      <c r="E3178" s="22"/>
      <c r="F3178" s="22"/>
      <c r="G3178" s="22"/>
    </row>
    <row r="3179" spans="1:7" x14ac:dyDescent="0.15">
      <c r="A3179" s="41" t="s">
        <v>9307</v>
      </c>
      <c r="B3179" s="25" t="s">
        <v>9659</v>
      </c>
      <c r="C3179" s="19" t="s">
        <v>9660</v>
      </c>
      <c r="D3179" s="42" t="str">
        <f t="shared" si="228"/>
        <v>https://rmda.kulib.kyoto-u.ac.jp/item/rb00002938?page=88</v>
      </c>
      <c r="E3179" s="22"/>
      <c r="F3179" s="22"/>
      <c r="G3179" s="22"/>
    </row>
    <row r="3180" spans="1:7" x14ac:dyDescent="0.15">
      <c r="A3180" s="41" t="s">
        <v>9307</v>
      </c>
      <c r="B3180" s="25" t="s">
        <v>9661</v>
      </c>
      <c r="C3180" s="19" t="s">
        <v>9662</v>
      </c>
      <c r="D3180" s="42" t="str">
        <f t="shared" si="228"/>
        <v>https://rmda.kulib.kyoto-u.ac.jp/item/rb00002938?page=88</v>
      </c>
      <c r="E3180" s="22"/>
      <c r="F3180" s="22"/>
      <c r="G3180" s="22"/>
    </row>
    <row r="3181" spans="1:7" x14ac:dyDescent="0.15">
      <c r="A3181" s="41" t="s">
        <v>9307</v>
      </c>
      <c r="B3181" s="25" t="s">
        <v>9663</v>
      </c>
      <c r="C3181" s="19" t="s">
        <v>9664</v>
      </c>
      <c r="D3181" s="42" t="str">
        <f t="shared" si="228"/>
        <v>https://rmda.kulib.kyoto-u.ac.jp/item/rb00002938?page=88</v>
      </c>
      <c r="E3181" s="22"/>
      <c r="F3181" s="22"/>
      <c r="G3181" s="22"/>
    </row>
    <row r="3182" spans="1:7" x14ac:dyDescent="0.15">
      <c r="A3182" s="41" t="s">
        <v>9307</v>
      </c>
      <c r="B3182" s="25" t="s">
        <v>9665</v>
      </c>
      <c r="C3182" s="19" t="s">
        <v>9666</v>
      </c>
      <c r="D3182" s="42" t="str">
        <f t="shared" si="228"/>
        <v>https://rmda.kulib.kyoto-u.ac.jp/item/rb00002938?page=88</v>
      </c>
      <c r="E3182" s="22"/>
      <c r="F3182" s="22"/>
      <c r="G3182" s="22"/>
    </row>
    <row r="3183" spans="1:7" x14ac:dyDescent="0.15">
      <c r="A3183" s="41" t="s">
        <v>9307</v>
      </c>
      <c r="B3183" s="25" t="s">
        <v>9667</v>
      </c>
      <c r="C3183" s="19" t="s">
        <v>9668</v>
      </c>
      <c r="D3183" s="42" t="str">
        <f>HYPERLINK("https://rmda.kulib.kyoto-u.ac.jp/item/rb00002938?page=89")</f>
        <v>https://rmda.kulib.kyoto-u.ac.jp/item/rb00002938?page=89</v>
      </c>
      <c r="E3183" s="22"/>
      <c r="F3183" s="22"/>
      <c r="G3183" s="22"/>
    </row>
    <row r="3184" spans="1:7" x14ac:dyDescent="0.15">
      <c r="A3184" s="41" t="s">
        <v>9307</v>
      </c>
      <c r="B3184" s="25" t="s">
        <v>9669</v>
      </c>
      <c r="C3184" s="19" t="s">
        <v>9670</v>
      </c>
      <c r="D3184" s="42" t="str">
        <f>HYPERLINK("https://rmda.kulib.kyoto-u.ac.jp/item/rb00002938?page=92")</f>
        <v>https://rmda.kulib.kyoto-u.ac.jp/item/rb00002938?page=92</v>
      </c>
      <c r="E3184" s="22"/>
      <c r="F3184" s="22"/>
      <c r="G3184" s="22"/>
    </row>
    <row r="3185" spans="1:7" x14ac:dyDescent="0.15">
      <c r="A3185" s="41" t="s">
        <v>9307</v>
      </c>
      <c r="B3185" s="25" t="s">
        <v>9671</v>
      </c>
      <c r="C3185" s="19" t="s">
        <v>9672</v>
      </c>
      <c r="D3185" s="42" t="str">
        <f>HYPERLINK("https://rmda.kulib.kyoto-u.ac.jp/item/rb00002938?page=93")</f>
        <v>https://rmda.kulib.kyoto-u.ac.jp/item/rb00002938?page=93</v>
      </c>
      <c r="E3185" s="22"/>
      <c r="F3185" s="22"/>
      <c r="G3185" s="22"/>
    </row>
    <row r="3186" spans="1:7" x14ac:dyDescent="0.15">
      <c r="A3186" s="41" t="s">
        <v>9307</v>
      </c>
      <c r="B3186" s="25" t="s">
        <v>9673</v>
      </c>
      <c r="C3186" s="19" t="s">
        <v>9674</v>
      </c>
      <c r="D3186" s="42" t="str">
        <f>HYPERLINK("https://rmda.kulib.kyoto-u.ac.jp/item/rb00002938?page=93")</f>
        <v>https://rmda.kulib.kyoto-u.ac.jp/item/rb00002938?page=93</v>
      </c>
      <c r="E3186" s="22"/>
      <c r="F3186" s="22"/>
      <c r="G3186" s="22"/>
    </row>
    <row r="3187" spans="1:7" x14ac:dyDescent="0.15">
      <c r="A3187" s="41" t="s">
        <v>9307</v>
      </c>
      <c r="B3187" s="25" t="s">
        <v>9675</v>
      </c>
      <c r="C3187" s="19" t="s">
        <v>9676</v>
      </c>
      <c r="D3187" s="42" t="str">
        <f>HYPERLINK("https://rmda.kulib.kyoto-u.ac.jp/item/rb00002938?page=93")</f>
        <v>https://rmda.kulib.kyoto-u.ac.jp/item/rb00002938?page=93</v>
      </c>
      <c r="E3187" s="22"/>
      <c r="F3187" s="22"/>
      <c r="G3187" s="22"/>
    </row>
    <row r="3188" spans="1:7" x14ac:dyDescent="0.15">
      <c r="A3188" s="41" t="s">
        <v>9307</v>
      </c>
      <c r="B3188" s="25" t="s">
        <v>9677</v>
      </c>
      <c r="C3188" s="19" t="s">
        <v>9678</v>
      </c>
      <c r="D3188" s="42" t="str">
        <f>HYPERLINK("https://rmda.kulib.kyoto-u.ac.jp/item/rb00002938?page=93")</f>
        <v>https://rmda.kulib.kyoto-u.ac.jp/item/rb00002938?page=93</v>
      </c>
      <c r="E3188" s="22"/>
      <c r="F3188" s="22"/>
      <c r="G3188" s="22"/>
    </row>
    <row r="3189" spans="1:7" x14ac:dyDescent="0.15">
      <c r="A3189" s="41" t="s">
        <v>9307</v>
      </c>
      <c r="B3189" s="25" t="s">
        <v>9679</v>
      </c>
      <c r="C3189" s="19" t="s">
        <v>9680</v>
      </c>
      <c r="D3189" s="42" t="str">
        <f>HYPERLINK("https://rmda.kulib.kyoto-u.ac.jp/item/rb00002938?page=93")</f>
        <v>https://rmda.kulib.kyoto-u.ac.jp/item/rb00002938?page=93</v>
      </c>
      <c r="E3189" s="22"/>
      <c r="F3189" s="22"/>
      <c r="G3189" s="22"/>
    </row>
    <row r="3190" spans="1:7" x14ac:dyDescent="0.15">
      <c r="A3190" s="41" t="s">
        <v>9307</v>
      </c>
      <c r="B3190" s="25" t="s">
        <v>9681</v>
      </c>
      <c r="C3190" s="19" t="s">
        <v>9682</v>
      </c>
      <c r="D3190" s="42" t="str">
        <f t="shared" ref="D3190:D3197" si="229">HYPERLINK("https://rmda.kulib.kyoto-u.ac.jp/item/rb00002938?page=94")</f>
        <v>https://rmda.kulib.kyoto-u.ac.jp/item/rb00002938?page=94</v>
      </c>
      <c r="E3190" s="22"/>
      <c r="F3190" s="22"/>
      <c r="G3190" s="22"/>
    </row>
    <row r="3191" spans="1:7" x14ac:dyDescent="0.15">
      <c r="A3191" s="41" t="s">
        <v>9307</v>
      </c>
      <c r="B3191" s="25" t="s">
        <v>9683</v>
      </c>
      <c r="C3191" s="19" t="s">
        <v>9684</v>
      </c>
      <c r="D3191" s="42" t="str">
        <f t="shared" si="229"/>
        <v>https://rmda.kulib.kyoto-u.ac.jp/item/rb00002938?page=94</v>
      </c>
      <c r="E3191" s="22"/>
      <c r="F3191" s="22"/>
      <c r="G3191" s="22"/>
    </row>
    <row r="3192" spans="1:7" x14ac:dyDescent="0.15">
      <c r="A3192" s="41" t="s">
        <v>9307</v>
      </c>
      <c r="B3192" s="25" t="s">
        <v>9685</v>
      </c>
      <c r="C3192" s="19" t="s">
        <v>9686</v>
      </c>
      <c r="D3192" s="42" t="str">
        <f t="shared" si="229"/>
        <v>https://rmda.kulib.kyoto-u.ac.jp/item/rb00002938?page=94</v>
      </c>
      <c r="E3192" s="22"/>
      <c r="F3192" s="22"/>
      <c r="G3192" s="22"/>
    </row>
    <row r="3193" spans="1:7" x14ac:dyDescent="0.15">
      <c r="A3193" s="41" t="s">
        <v>9307</v>
      </c>
      <c r="B3193" s="25" t="s">
        <v>9687</v>
      </c>
      <c r="C3193" s="19" t="s">
        <v>9688</v>
      </c>
      <c r="D3193" s="42" t="str">
        <f t="shared" si="229"/>
        <v>https://rmda.kulib.kyoto-u.ac.jp/item/rb00002938?page=94</v>
      </c>
      <c r="E3193" s="22"/>
      <c r="F3193" s="22"/>
      <c r="G3193" s="22"/>
    </row>
    <row r="3194" spans="1:7" x14ac:dyDescent="0.15">
      <c r="A3194" s="41" t="s">
        <v>9307</v>
      </c>
      <c r="B3194" s="25" t="s">
        <v>9689</v>
      </c>
      <c r="C3194" s="19" t="s">
        <v>9690</v>
      </c>
      <c r="D3194" s="42" t="str">
        <f t="shared" si="229"/>
        <v>https://rmda.kulib.kyoto-u.ac.jp/item/rb00002938?page=94</v>
      </c>
      <c r="E3194" s="22"/>
      <c r="F3194" s="22"/>
      <c r="G3194" s="22"/>
    </row>
    <row r="3195" spans="1:7" x14ac:dyDescent="0.15">
      <c r="A3195" s="41" t="s">
        <v>9307</v>
      </c>
      <c r="B3195" s="25" t="s">
        <v>9691</v>
      </c>
      <c r="C3195" s="19" t="s">
        <v>9692</v>
      </c>
      <c r="D3195" s="42" t="str">
        <f t="shared" si="229"/>
        <v>https://rmda.kulib.kyoto-u.ac.jp/item/rb00002938?page=94</v>
      </c>
      <c r="E3195" s="22"/>
      <c r="F3195" s="22"/>
      <c r="G3195" s="22"/>
    </row>
    <row r="3196" spans="1:7" x14ac:dyDescent="0.15">
      <c r="A3196" s="41" t="s">
        <v>9307</v>
      </c>
      <c r="B3196" s="25" t="s">
        <v>9693</v>
      </c>
      <c r="C3196" s="19" t="s">
        <v>9694</v>
      </c>
      <c r="D3196" s="42" t="str">
        <f t="shared" si="229"/>
        <v>https://rmda.kulib.kyoto-u.ac.jp/item/rb00002938?page=94</v>
      </c>
      <c r="E3196" s="22"/>
      <c r="F3196" s="22"/>
      <c r="G3196" s="22"/>
    </row>
    <row r="3197" spans="1:7" x14ac:dyDescent="0.15">
      <c r="A3197" s="41" t="s">
        <v>9307</v>
      </c>
      <c r="B3197" s="25" t="s">
        <v>9695</v>
      </c>
      <c r="C3197" s="19" t="s">
        <v>9696</v>
      </c>
      <c r="D3197" s="42" t="str">
        <f t="shared" si="229"/>
        <v>https://rmda.kulib.kyoto-u.ac.jp/item/rb00002938?page=94</v>
      </c>
      <c r="E3197" s="22"/>
      <c r="F3197" s="22"/>
      <c r="G3197" s="22"/>
    </row>
    <row r="3198" spans="1:7" x14ac:dyDescent="0.15">
      <c r="A3198" s="41" t="s">
        <v>9307</v>
      </c>
      <c r="B3198" s="25" t="s">
        <v>9697</v>
      </c>
      <c r="C3198" s="19" t="s">
        <v>9698</v>
      </c>
      <c r="D3198" s="42" t="str">
        <f>HYPERLINK("https://rmda.kulib.kyoto-u.ac.jp/item/rb00002938?page=95")</f>
        <v>https://rmda.kulib.kyoto-u.ac.jp/item/rb00002938?page=95</v>
      </c>
      <c r="E3198" s="22"/>
      <c r="F3198" s="22"/>
      <c r="G3198" s="22"/>
    </row>
    <row r="3199" spans="1:7" x14ac:dyDescent="0.15">
      <c r="A3199" s="41" t="s">
        <v>9307</v>
      </c>
      <c r="B3199" s="25" t="s">
        <v>9699</v>
      </c>
      <c r="C3199" s="19" t="s">
        <v>9700</v>
      </c>
      <c r="D3199" s="42" t="str">
        <f>HYPERLINK("https://rmda.kulib.kyoto-u.ac.jp/item/rb00002938?page=95")</f>
        <v>https://rmda.kulib.kyoto-u.ac.jp/item/rb00002938?page=95</v>
      </c>
      <c r="E3199" s="22"/>
      <c r="F3199" s="22"/>
      <c r="G3199" s="22"/>
    </row>
    <row r="3200" spans="1:7" x14ac:dyDescent="0.15">
      <c r="A3200" s="41" t="s">
        <v>9307</v>
      </c>
      <c r="B3200" s="25" t="s">
        <v>9701</v>
      </c>
      <c r="C3200" s="19" t="s">
        <v>9702</v>
      </c>
      <c r="D3200" s="42" t="str">
        <f>HYPERLINK("https://rmda.kulib.kyoto-u.ac.jp/item/rb00002938?page=95")</f>
        <v>https://rmda.kulib.kyoto-u.ac.jp/item/rb00002938?page=95</v>
      </c>
      <c r="E3200" s="22"/>
      <c r="F3200" s="22"/>
      <c r="G3200" s="22"/>
    </row>
    <row r="3201" spans="1:7" x14ac:dyDescent="0.15">
      <c r="A3201" s="41" t="s">
        <v>9307</v>
      </c>
      <c r="B3201" s="25" t="s">
        <v>9703</v>
      </c>
      <c r="C3201" s="19" t="s">
        <v>9704</v>
      </c>
      <c r="D3201" s="42" t="str">
        <f>HYPERLINK("https://rmda.kulib.kyoto-u.ac.jp/item/rb00002938?page=95")</f>
        <v>https://rmda.kulib.kyoto-u.ac.jp/item/rb00002938?page=95</v>
      </c>
      <c r="E3201" s="22"/>
      <c r="F3201" s="22"/>
      <c r="G3201" s="22"/>
    </row>
    <row r="3202" spans="1:7" x14ac:dyDescent="0.15">
      <c r="A3202" s="41" t="s">
        <v>9307</v>
      </c>
      <c r="B3202" s="25" t="s">
        <v>9705</v>
      </c>
      <c r="C3202" s="19" t="s">
        <v>9706</v>
      </c>
      <c r="D3202" s="42" t="str">
        <f>HYPERLINK("https://rmda.kulib.kyoto-u.ac.jp/item/rb00002938?page=95")</f>
        <v>https://rmda.kulib.kyoto-u.ac.jp/item/rb00002938?page=95</v>
      </c>
      <c r="E3202" s="22"/>
      <c r="F3202" s="22"/>
      <c r="G3202" s="22"/>
    </row>
    <row r="3203" spans="1:7" x14ac:dyDescent="0.15">
      <c r="A3203" s="41" t="s">
        <v>9307</v>
      </c>
      <c r="B3203" s="25" t="s">
        <v>9707</v>
      </c>
      <c r="C3203" s="19" t="s">
        <v>9708</v>
      </c>
      <c r="D3203" s="42" t="str">
        <f t="shared" ref="D3203:D3209" si="230">HYPERLINK("https://rmda.kulib.kyoto-u.ac.jp/item/rb00002938?page=96")</f>
        <v>https://rmda.kulib.kyoto-u.ac.jp/item/rb00002938?page=96</v>
      </c>
      <c r="E3203" s="22"/>
      <c r="F3203" s="22"/>
      <c r="G3203" s="22"/>
    </row>
    <row r="3204" spans="1:7" x14ac:dyDescent="0.15">
      <c r="A3204" s="41" t="s">
        <v>9307</v>
      </c>
      <c r="B3204" s="25" t="s">
        <v>9709</v>
      </c>
      <c r="C3204" s="19" t="s">
        <v>9710</v>
      </c>
      <c r="D3204" s="42" t="str">
        <f t="shared" si="230"/>
        <v>https://rmda.kulib.kyoto-u.ac.jp/item/rb00002938?page=96</v>
      </c>
      <c r="E3204" s="22"/>
      <c r="F3204" s="22"/>
      <c r="G3204" s="22"/>
    </row>
    <row r="3205" spans="1:7" x14ac:dyDescent="0.15">
      <c r="A3205" s="41" t="s">
        <v>9307</v>
      </c>
      <c r="B3205" s="25" t="s">
        <v>9711</v>
      </c>
      <c r="C3205" s="19" t="s">
        <v>9712</v>
      </c>
      <c r="D3205" s="42" t="str">
        <f t="shared" si="230"/>
        <v>https://rmda.kulib.kyoto-u.ac.jp/item/rb00002938?page=96</v>
      </c>
      <c r="E3205" s="22"/>
      <c r="F3205" s="22"/>
      <c r="G3205" s="22"/>
    </row>
    <row r="3206" spans="1:7" x14ac:dyDescent="0.15">
      <c r="A3206" s="41" t="s">
        <v>9307</v>
      </c>
      <c r="B3206" s="25" t="s">
        <v>9713</v>
      </c>
      <c r="C3206" s="19" t="s">
        <v>9714</v>
      </c>
      <c r="D3206" s="42" t="str">
        <f t="shared" si="230"/>
        <v>https://rmda.kulib.kyoto-u.ac.jp/item/rb00002938?page=96</v>
      </c>
      <c r="E3206" s="22"/>
      <c r="F3206" s="22"/>
      <c r="G3206" s="22"/>
    </row>
    <row r="3207" spans="1:7" x14ac:dyDescent="0.15">
      <c r="A3207" s="41" t="s">
        <v>9307</v>
      </c>
      <c r="B3207" s="25" t="s">
        <v>9715</v>
      </c>
      <c r="C3207" s="19" t="s">
        <v>9716</v>
      </c>
      <c r="D3207" s="42" t="str">
        <f t="shared" si="230"/>
        <v>https://rmda.kulib.kyoto-u.ac.jp/item/rb00002938?page=96</v>
      </c>
      <c r="E3207" s="22"/>
      <c r="F3207" s="22"/>
      <c r="G3207" s="22"/>
    </row>
    <row r="3208" spans="1:7" x14ac:dyDescent="0.15">
      <c r="A3208" s="41" t="s">
        <v>9307</v>
      </c>
      <c r="B3208" s="25" t="s">
        <v>9717</v>
      </c>
      <c r="C3208" s="19" t="s">
        <v>9718</v>
      </c>
      <c r="D3208" s="42" t="str">
        <f t="shared" si="230"/>
        <v>https://rmda.kulib.kyoto-u.ac.jp/item/rb00002938?page=96</v>
      </c>
      <c r="E3208" s="22"/>
      <c r="F3208" s="22"/>
      <c r="G3208" s="22"/>
    </row>
    <row r="3209" spans="1:7" ht="27" x14ac:dyDescent="0.15">
      <c r="A3209" s="41" t="s">
        <v>9307</v>
      </c>
      <c r="B3209" s="25" t="s">
        <v>9719</v>
      </c>
      <c r="C3209" s="25" t="s">
        <v>9720</v>
      </c>
      <c r="D3209" s="42" t="str">
        <f t="shared" si="230"/>
        <v>https://rmda.kulib.kyoto-u.ac.jp/item/rb00002938?page=96</v>
      </c>
      <c r="E3209" s="22"/>
      <c r="F3209" s="22"/>
      <c r="G3209" s="22"/>
    </row>
    <row r="3210" spans="1:7" x14ac:dyDescent="0.15">
      <c r="A3210" s="41" t="s">
        <v>9307</v>
      </c>
      <c r="B3210" s="25" t="s">
        <v>9721</v>
      </c>
      <c r="C3210" s="19" t="s">
        <v>9722</v>
      </c>
      <c r="D3210" s="42" t="str">
        <f>HYPERLINK("https://rmda.kulib.kyoto-u.ac.jp/item/rb00002938?page=97")</f>
        <v>https://rmda.kulib.kyoto-u.ac.jp/item/rb00002938?page=97</v>
      </c>
      <c r="E3210" s="22"/>
      <c r="F3210" s="22"/>
      <c r="G3210" s="22"/>
    </row>
    <row r="3211" spans="1:7" x14ac:dyDescent="0.15">
      <c r="A3211" s="41" t="s">
        <v>9307</v>
      </c>
      <c r="B3211" s="25" t="s">
        <v>9723</v>
      </c>
      <c r="C3211" s="19" t="s">
        <v>9724</v>
      </c>
      <c r="D3211" s="42" t="str">
        <f>HYPERLINK("https://rmda.kulib.kyoto-u.ac.jp/item/rb00002938?page=97")</f>
        <v>https://rmda.kulib.kyoto-u.ac.jp/item/rb00002938?page=97</v>
      </c>
      <c r="E3211" s="22"/>
      <c r="F3211" s="22"/>
      <c r="G3211" s="22"/>
    </row>
    <row r="3212" spans="1:7" x14ac:dyDescent="0.15">
      <c r="A3212" s="41" t="s">
        <v>9307</v>
      </c>
      <c r="B3212" s="25" t="s">
        <v>9725</v>
      </c>
      <c r="C3212" s="19" t="s">
        <v>9726</v>
      </c>
      <c r="D3212" s="42" t="str">
        <f>HYPERLINK("https://rmda.kulib.kyoto-u.ac.jp/item/rb00002938?page=97")</f>
        <v>https://rmda.kulib.kyoto-u.ac.jp/item/rb00002938?page=97</v>
      </c>
      <c r="E3212" s="22"/>
      <c r="F3212" s="22"/>
      <c r="G3212" s="22"/>
    </row>
    <row r="3213" spans="1:7" x14ac:dyDescent="0.15">
      <c r="A3213" s="41" t="s">
        <v>9307</v>
      </c>
      <c r="B3213" s="25" t="s">
        <v>9727</v>
      </c>
      <c r="C3213" s="19" t="s">
        <v>9728</v>
      </c>
      <c r="D3213" s="42" t="str">
        <f>HYPERLINK("https://rmda.kulib.kyoto-u.ac.jp/item/rb00002938?page=98")</f>
        <v>https://rmda.kulib.kyoto-u.ac.jp/item/rb00002938?page=98</v>
      </c>
      <c r="E3213" s="22"/>
      <c r="F3213" s="22"/>
      <c r="G3213" s="22"/>
    </row>
    <row r="3214" spans="1:7" x14ac:dyDescent="0.15">
      <c r="A3214" s="41" t="s">
        <v>9307</v>
      </c>
      <c r="B3214" s="25" t="s">
        <v>9729</v>
      </c>
      <c r="C3214" s="19" t="s">
        <v>9730</v>
      </c>
      <c r="D3214" s="42" t="str">
        <f>HYPERLINK("https://rmda.kulib.kyoto-u.ac.jp/item/rb00002938?page=98")</f>
        <v>https://rmda.kulib.kyoto-u.ac.jp/item/rb00002938?page=98</v>
      </c>
      <c r="E3214" s="22"/>
      <c r="F3214" s="22"/>
      <c r="G3214" s="22"/>
    </row>
    <row r="3215" spans="1:7" x14ac:dyDescent="0.15">
      <c r="A3215" s="41" t="s">
        <v>9307</v>
      </c>
      <c r="B3215" s="25" t="s">
        <v>9731</v>
      </c>
      <c r="C3215" s="19" t="s">
        <v>9732</v>
      </c>
      <c r="D3215" s="42" t="str">
        <f>HYPERLINK("https://rmda.kulib.kyoto-u.ac.jp/item/rb00002938?page=98")</f>
        <v>https://rmda.kulib.kyoto-u.ac.jp/item/rb00002938?page=98</v>
      </c>
      <c r="E3215" s="22"/>
      <c r="F3215" s="22"/>
      <c r="G3215" s="22"/>
    </row>
    <row r="3216" spans="1:7" x14ac:dyDescent="0.15">
      <c r="A3216" s="41" t="s">
        <v>9307</v>
      </c>
      <c r="B3216" s="25" t="s">
        <v>9733</v>
      </c>
      <c r="C3216" s="19" t="s">
        <v>9734</v>
      </c>
      <c r="D3216" s="42" t="str">
        <f>HYPERLINK("https://rmda.kulib.kyoto-u.ac.jp/item/rb00002938?page=99")</f>
        <v>https://rmda.kulib.kyoto-u.ac.jp/item/rb00002938?page=99</v>
      </c>
      <c r="E3216" s="22"/>
      <c r="F3216" s="22"/>
      <c r="G3216" s="22"/>
    </row>
    <row r="3217" spans="1:7" x14ac:dyDescent="0.15">
      <c r="A3217" s="41" t="s">
        <v>9307</v>
      </c>
      <c r="B3217" s="25" t="s">
        <v>9735</v>
      </c>
      <c r="C3217" s="19" t="s">
        <v>9736</v>
      </c>
      <c r="D3217" s="42" t="str">
        <f>HYPERLINK("https://rmda.kulib.kyoto-u.ac.jp/item/rb00002938?page=99")</f>
        <v>https://rmda.kulib.kyoto-u.ac.jp/item/rb00002938?page=99</v>
      </c>
      <c r="E3217" s="22"/>
      <c r="F3217" s="22"/>
      <c r="G3217" s="22"/>
    </row>
    <row r="3218" spans="1:7" x14ac:dyDescent="0.15">
      <c r="A3218" s="41" t="s">
        <v>9307</v>
      </c>
      <c r="B3218" s="25" t="s">
        <v>9737</v>
      </c>
      <c r="C3218" s="19" t="s">
        <v>9738</v>
      </c>
      <c r="D3218" s="42" t="str">
        <f t="shared" ref="D3218:D3225" si="231">HYPERLINK("https://rmda.kulib.kyoto-u.ac.jp/item/rb00002938?page=100")</f>
        <v>https://rmda.kulib.kyoto-u.ac.jp/item/rb00002938?page=100</v>
      </c>
      <c r="E3218" s="22"/>
      <c r="F3218" s="22"/>
      <c r="G3218" s="22"/>
    </row>
    <row r="3219" spans="1:7" x14ac:dyDescent="0.15">
      <c r="A3219" s="41" t="s">
        <v>9307</v>
      </c>
      <c r="B3219" s="25" t="s">
        <v>9739</v>
      </c>
      <c r="C3219" s="19" t="s">
        <v>9740</v>
      </c>
      <c r="D3219" s="42" t="str">
        <f t="shared" si="231"/>
        <v>https://rmda.kulib.kyoto-u.ac.jp/item/rb00002938?page=100</v>
      </c>
      <c r="E3219" s="22"/>
      <c r="F3219" s="22"/>
      <c r="G3219" s="22"/>
    </row>
    <row r="3220" spans="1:7" x14ac:dyDescent="0.15">
      <c r="A3220" s="41" t="s">
        <v>9307</v>
      </c>
      <c r="B3220" s="25" t="s">
        <v>9741</v>
      </c>
      <c r="C3220" s="19" t="s">
        <v>9742</v>
      </c>
      <c r="D3220" s="42" t="str">
        <f t="shared" si="231"/>
        <v>https://rmda.kulib.kyoto-u.ac.jp/item/rb00002938?page=100</v>
      </c>
      <c r="E3220" s="22"/>
      <c r="F3220" s="22"/>
      <c r="G3220" s="22"/>
    </row>
    <row r="3221" spans="1:7" x14ac:dyDescent="0.15">
      <c r="A3221" s="41" t="s">
        <v>9307</v>
      </c>
      <c r="B3221" s="25" t="s">
        <v>9743</v>
      </c>
      <c r="C3221" s="19" t="s">
        <v>9744</v>
      </c>
      <c r="D3221" s="42" t="str">
        <f t="shared" si="231"/>
        <v>https://rmda.kulib.kyoto-u.ac.jp/item/rb00002938?page=100</v>
      </c>
      <c r="E3221" s="22"/>
      <c r="F3221" s="22"/>
      <c r="G3221" s="22"/>
    </row>
    <row r="3222" spans="1:7" x14ac:dyDescent="0.15">
      <c r="A3222" s="41" t="s">
        <v>9307</v>
      </c>
      <c r="B3222" s="25" t="s">
        <v>9745</v>
      </c>
      <c r="C3222" s="19" t="s">
        <v>9746</v>
      </c>
      <c r="D3222" s="42" t="str">
        <f t="shared" si="231"/>
        <v>https://rmda.kulib.kyoto-u.ac.jp/item/rb00002938?page=100</v>
      </c>
      <c r="E3222" s="22"/>
      <c r="F3222" s="22"/>
      <c r="G3222" s="22"/>
    </row>
    <row r="3223" spans="1:7" x14ac:dyDescent="0.15">
      <c r="A3223" s="41" t="s">
        <v>9307</v>
      </c>
      <c r="B3223" s="25" t="s">
        <v>9747</v>
      </c>
      <c r="C3223" s="19" t="s">
        <v>9748</v>
      </c>
      <c r="D3223" s="42" t="str">
        <f t="shared" si="231"/>
        <v>https://rmda.kulib.kyoto-u.ac.jp/item/rb00002938?page=100</v>
      </c>
      <c r="E3223" s="22"/>
      <c r="F3223" s="22"/>
      <c r="G3223" s="22"/>
    </row>
    <row r="3224" spans="1:7" x14ac:dyDescent="0.15">
      <c r="A3224" s="41" t="s">
        <v>9307</v>
      </c>
      <c r="B3224" s="25" t="s">
        <v>9749</v>
      </c>
      <c r="C3224" s="19" t="s">
        <v>9750</v>
      </c>
      <c r="D3224" s="42" t="str">
        <f t="shared" si="231"/>
        <v>https://rmda.kulib.kyoto-u.ac.jp/item/rb00002938?page=100</v>
      </c>
      <c r="E3224" s="22"/>
      <c r="F3224" s="22"/>
      <c r="G3224" s="22"/>
    </row>
    <row r="3225" spans="1:7" x14ac:dyDescent="0.15">
      <c r="A3225" s="41" t="s">
        <v>9307</v>
      </c>
      <c r="B3225" s="25" t="s">
        <v>9751</v>
      </c>
      <c r="C3225" s="19" t="s">
        <v>9752</v>
      </c>
      <c r="D3225" s="42" t="str">
        <f t="shared" si="231"/>
        <v>https://rmda.kulib.kyoto-u.ac.jp/item/rb00002938?page=100</v>
      </c>
      <c r="E3225" s="22"/>
      <c r="F3225" s="22"/>
      <c r="G3225" s="22"/>
    </row>
    <row r="3226" spans="1:7" x14ac:dyDescent="0.15">
      <c r="A3226" s="41" t="s">
        <v>9307</v>
      </c>
      <c r="B3226" s="25" t="s">
        <v>9753</v>
      </c>
      <c r="C3226" s="19" t="s">
        <v>9754</v>
      </c>
      <c r="D3226" s="42" t="str">
        <f>HYPERLINK("https://rmda.kulib.kyoto-u.ac.jp/item/rb00002938?page=101")</f>
        <v>https://rmda.kulib.kyoto-u.ac.jp/item/rb00002938?page=101</v>
      </c>
      <c r="E3226" s="22"/>
      <c r="F3226" s="22"/>
      <c r="G3226" s="22"/>
    </row>
    <row r="3227" spans="1:7" x14ac:dyDescent="0.15">
      <c r="A3227" s="41" t="s">
        <v>9307</v>
      </c>
      <c r="B3227" s="25" t="s">
        <v>9755</v>
      </c>
      <c r="C3227" s="19" t="s">
        <v>9756</v>
      </c>
      <c r="D3227" s="42" t="str">
        <f>HYPERLINK("https://rmda.kulib.kyoto-u.ac.jp/item/rb00002938?page=101")</f>
        <v>https://rmda.kulib.kyoto-u.ac.jp/item/rb00002938?page=101</v>
      </c>
      <c r="E3227" s="22"/>
      <c r="F3227" s="22"/>
      <c r="G3227" s="22"/>
    </row>
    <row r="3228" spans="1:7" x14ac:dyDescent="0.15">
      <c r="A3228" s="41" t="s">
        <v>9307</v>
      </c>
      <c r="B3228" s="25" t="s">
        <v>9757</v>
      </c>
      <c r="C3228" s="19" t="s">
        <v>9758</v>
      </c>
      <c r="D3228" s="42" t="str">
        <f>HYPERLINK("https://rmda.kulib.kyoto-u.ac.jp/item/rb00002938?page=101")</f>
        <v>https://rmda.kulib.kyoto-u.ac.jp/item/rb00002938?page=101</v>
      </c>
      <c r="E3228" s="22"/>
      <c r="F3228" s="22"/>
      <c r="G3228" s="22"/>
    </row>
    <row r="3229" spans="1:7" x14ac:dyDescent="0.15">
      <c r="A3229" s="41" t="s">
        <v>9307</v>
      </c>
      <c r="B3229" s="25" t="s">
        <v>9759</v>
      </c>
      <c r="C3229" s="19" t="s">
        <v>9760</v>
      </c>
      <c r="D3229" s="42" t="str">
        <f>HYPERLINK("https://rmda.kulib.kyoto-u.ac.jp/item/rb00002938?page=101")</f>
        <v>https://rmda.kulib.kyoto-u.ac.jp/item/rb00002938?page=101</v>
      </c>
      <c r="E3229" s="22"/>
      <c r="F3229" s="22"/>
      <c r="G3229" s="22"/>
    </row>
    <row r="3230" spans="1:7" x14ac:dyDescent="0.15">
      <c r="A3230" s="41" t="s">
        <v>9307</v>
      </c>
      <c r="B3230" s="25" t="s">
        <v>9761</v>
      </c>
      <c r="C3230" s="19" t="s">
        <v>9762</v>
      </c>
      <c r="D3230" s="42" t="str">
        <f>HYPERLINK("https://rmda.kulib.kyoto-u.ac.jp/item/rb00002938?page=102")</f>
        <v>https://rmda.kulib.kyoto-u.ac.jp/item/rb00002938?page=102</v>
      </c>
      <c r="E3230" s="22"/>
      <c r="F3230" s="22"/>
      <c r="G3230" s="22"/>
    </row>
    <row r="3231" spans="1:7" x14ac:dyDescent="0.15">
      <c r="A3231" s="41" t="s">
        <v>9307</v>
      </c>
      <c r="B3231" s="25" t="s">
        <v>9763</v>
      </c>
      <c r="C3231" s="19" t="s">
        <v>9764</v>
      </c>
      <c r="D3231" s="42" t="str">
        <f>HYPERLINK("https://rmda.kulib.kyoto-u.ac.jp/item/rb00002938?page=102")</f>
        <v>https://rmda.kulib.kyoto-u.ac.jp/item/rb00002938?page=102</v>
      </c>
      <c r="E3231" s="22"/>
      <c r="F3231" s="22"/>
      <c r="G3231" s="22"/>
    </row>
    <row r="3232" spans="1:7" x14ac:dyDescent="0.15">
      <c r="A3232" s="41" t="s">
        <v>9307</v>
      </c>
      <c r="B3232" s="25" t="s">
        <v>9765</v>
      </c>
      <c r="C3232" s="19" t="s">
        <v>9766</v>
      </c>
      <c r="D3232" s="42" t="str">
        <f>HYPERLINK("https://rmda.kulib.kyoto-u.ac.jp/item/rb00002938?page=102")</f>
        <v>https://rmda.kulib.kyoto-u.ac.jp/item/rb00002938?page=102</v>
      </c>
      <c r="E3232" s="22"/>
      <c r="F3232" s="22"/>
      <c r="G3232" s="22"/>
    </row>
    <row r="3233" spans="1:7" x14ac:dyDescent="0.15">
      <c r="A3233" s="41" t="s">
        <v>9307</v>
      </c>
      <c r="B3233" s="25" t="s">
        <v>9767</v>
      </c>
      <c r="C3233" s="19" t="s">
        <v>9768</v>
      </c>
      <c r="D3233" s="42" t="str">
        <f>HYPERLINK("https://rmda.kulib.kyoto-u.ac.jp/item/rb00002938?page=102")</f>
        <v>https://rmda.kulib.kyoto-u.ac.jp/item/rb00002938?page=102</v>
      </c>
      <c r="E3233" s="22"/>
      <c r="F3233" s="22"/>
      <c r="G3233" s="22"/>
    </row>
    <row r="3234" spans="1:7" x14ac:dyDescent="0.15">
      <c r="A3234" s="41" t="s">
        <v>9307</v>
      </c>
      <c r="B3234" s="25" t="s">
        <v>9769</v>
      </c>
      <c r="C3234" s="19" t="s">
        <v>9770</v>
      </c>
      <c r="D3234" s="42" t="str">
        <f>HYPERLINK("https://rmda.kulib.kyoto-u.ac.jp/item/rb00002938?page=103")</f>
        <v>https://rmda.kulib.kyoto-u.ac.jp/item/rb00002938?page=103</v>
      </c>
      <c r="E3234" s="22"/>
      <c r="F3234" s="22"/>
      <c r="G3234" s="22"/>
    </row>
    <row r="3235" spans="1:7" x14ac:dyDescent="0.15">
      <c r="A3235" s="41" t="s">
        <v>9307</v>
      </c>
      <c r="B3235" s="25" t="s">
        <v>9771</v>
      </c>
      <c r="C3235" s="19" t="s">
        <v>9772</v>
      </c>
      <c r="D3235" s="42" t="str">
        <f>HYPERLINK("https://rmda.kulib.kyoto-u.ac.jp/item/rb00002938?page=103")</f>
        <v>https://rmda.kulib.kyoto-u.ac.jp/item/rb00002938?page=103</v>
      </c>
      <c r="E3235" s="22"/>
      <c r="F3235" s="22"/>
      <c r="G3235" s="22"/>
    </row>
    <row r="3236" spans="1:7" x14ac:dyDescent="0.15">
      <c r="A3236" s="41" t="s">
        <v>9307</v>
      </c>
      <c r="B3236" s="25" t="s">
        <v>9773</v>
      </c>
      <c r="C3236" s="19" t="s">
        <v>9774</v>
      </c>
      <c r="D3236" s="42" t="str">
        <f>HYPERLINK("https://rmda.kulib.kyoto-u.ac.jp/item/rb00002938?page=103")</f>
        <v>https://rmda.kulib.kyoto-u.ac.jp/item/rb00002938?page=103</v>
      </c>
      <c r="E3236" s="22"/>
      <c r="F3236" s="22"/>
      <c r="G3236" s="22"/>
    </row>
    <row r="3237" spans="1:7" x14ac:dyDescent="0.15">
      <c r="A3237" s="41" t="s">
        <v>9307</v>
      </c>
      <c r="B3237" s="25" t="s">
        <v>9775</v>
      </c>
      <c r="C3237" s="19" t="s">
        <v>9776</v>
      </c>
      <c r="D3237" s="42" t="str">
        <f t="shared" ref="D3237:D3246" si="232">HYPERLINK("https://rmda.kulib.kyoto-u.ac.jp/item/rb00002938?page=104")</f>
        <v>https://rmda.kulib.kyoto-u.ac.jp/item/rb00002938?page=104</v>
      </c>
      <c r="E3237" s="22"/>
      <c r="F3237" s="22"/>
      <c r="G3237" s="22"/>
    </row>
    <row r="3238" spans="1:7" x14ac:dyDescent="0.15">
      <c r="A3238" s="41" t="s">
        <v>9307</v>
      </c>
      <c r="B3238" s="25" t="s">
        <v>9777</v>
      </c>
      <c r="C3238" s="19" t="s">
        <v>9778</v>
      </c>
      <c r="D3238" s="42" t="str">
        <f t="shared" si="232"/>
        <v>https://rmda.kulib.kyoto-u.ac.jp/item/rb00002938?page=104</v>
      </c>
      <c r="E3238" s="22"/>
      <c r="F3238" s="22"/>
      <c r="G3238" s="22"/>
    </row>
    <row r="3239" spans="1:7" x14ac:dyDescent="0.15">
      <c r="A3239" s="41" t="s">
        <v>9307</v>
      </c>
      <c r="B3239" s="25" t="s">
        <v>9779</v>
      </c>
      <c r="C3239" s="19" t="s">
        <v>9780</v>
      </c>
      <c r="D3239" s="42" t="str">
        <f t="shared" si="232"/>
        <v>https://rmda.kulib.kyoto-u.ac.jp/item/rb00002938?page=104</v>
      </c>
      <c r="E3239" s="22"/>
      <c r="F3239" s="22"/>
      <c r="G3239" s="22"/>
    </row>
    <row r="3240" spans="1:7" x14ac:dyDescent="0.15">
      <c r="A3240" s="41" t="s">
        <v>9307</v>
      </c>
      <c r="B3240" s="25" t="s">
        <v>9781</v>
      </c>
      <c r="C3240" s="19" t="s">
        <v>9782</v>
      </c>
      <c r="D3240" s="42" t="str">
        <f t="shared" si="232"/>
        <v>https://rmda.kulib.kyoto-u.ac.jp/item/rb00002938?page=104</v>
      </c>
      <c r="E3240" s="22"/>
      <c r="F3240" s="22"/>
      <c r="G3240" s="22"/>
    </row>
    <row r="3241" spans="1:7" x14ac:dyDescent="0.15">
      <c r="A3241" s="41" t="s">
        <v>9307</v>
      </c>
      <c r="B3241" s="25" t="s">
        <v>9783</v>
      </c>
      <c r="C3241" s="19" t="s">
        <v>9784</v>
      </c>
      <c r="D3241" s="42" t="str">
        <f t="shared" si="232"/>
        <v>https://rmda.kulib.kyoto-u.ac.jp/item/rb00002938?page=104</v>
      </c>
      <c r="E3241" s="22"/>
      <c r="F3241" s="22"/>
      <c r="G3241" s="22"/>
    </row>
    <row r="3242" spans="1:7" x14ac:dyDescent="0.15">
      <c r="A3242" s="41" t="s">
        <v>9307</v>
      </c>
      <c r="B3242" s="25" t="s">
        <v>9785</v>
      </c>
      <c r="C3242" s="19" t="s">
        <v>9786</v>
      </c>
      <c r="D3242" s="42" t="str">
        <f t="shared" si="232"/>
        <v>https://rmda.kulib.kyoto-u.ac.jp/item/rb00002938?page=104</v>
      </c>
      <c r="E3242" s="22"/>
      <c r="F3242" s="22"/>
      <c r="G3242" s="22"/>
    </row>
    <row r="3243" spans="1:7" x14ac:dyDescent="0.15">
      <c r="A3243" s="41" t="s">
        <v>9307</v>
      </c>
      <c r="B3243" s="25" t="s">
        <v>9787</v>
      </c>
      <c r="C3243" s="19" t="s">
        <v>9788</v>
      </c>
      <c r="D3243" s="42" t="str">
        <f t="shared" si="232"/>
        <v>https://rmda.kulib.kyoto-u.ac.jp/item/rb00002938?page=104</v>
      </c>
      <c r="E3243" s="22"/>
      <c r="F3243" s="22"/>
      <c r="G3243" s="22"/>
    </row>
    <row r="3244" spans="1:7" x14ac:dyDescent="0.15">
      <c r="A3244" s="41" t="s">
        <v>9307</v>
      </c>
      <c r="B3244" s="25" t="s">
        <v>9789</v>
      </c>
      <c r="C3244" s="19" t="s">
        <v>9790</v>
      </c>
      <c r="D3244" s="42" t="str">
        <f t="shared" si="232"/>
        <v>https://rmda.kulib.kyoto-u.ac.jp/item/rb00002938?page=104</v>
      </c>
      <c r="E3244" s="22"/>
      <c r="F3244" s="22"/>
      <c r="G3244" s="22"/>
    </row>
    <row r="3245" spans="1:7" x14ac:dyDescent="0.15">
      <c r="A3245" s="41" t="s">
        <v>9307</v>
      </c>
      <c r="B3245" s="25" t="s">
        <v>9791</v>
      </c>
      <c r="C3245" s="19" t="s">
        <v>9792</v>
      </c>
      <c r="D3245" s="42" t="str">
        <f t="shared" si="232"/>
        <v>https://rmda.kulib.kyoto-u.ac.jp/item/rb00002938?page=104</v>
      </c>
      <c r="E3245" s="22"/>
      <c r="F3245" s="22"/>
      <c r="G3245" s="22"/>
    </row>
    <row r="3246" spans="1:7" x14ac:dyDescent="0.15">
      <c r="A3246" s="41" t="s">
        <v>9307</v>
      </c>
      <c r="B3246" s="25" t="s">
        <v>9793</v>
      </c>
      <c r="C3246" s="19" t="s">
        <v>9794</v>
      </c>
      <c r="D3246" s="42" t="str">
        <f t="shared" si="232"/>
        <v>https://rmda.kulib.kyoto-u.ac.jp/item/rb00002938?page=104</v>
      </c>
      <c r="E3246" s="22"/>
      <c r="F3246" s="22"/>
      <c r="G3246" s="22"/>
    </row>
    <row r="3247" spans="1:7" x14ac:dyDescent="0.15">
      <c r="A3247" s="41" t="s">
        <v>9307</v>
      </c>
      <c r="B3247" s="25" t="s">
        <v>9795</v>
      </c>
      <c r="C3247" s="19" t="s">
        <v>9796</v>
      </c>
      <c r="D3247" s="42" t="str">
        <f t="shared" ref="D3247:D3252" si="233">HYPERLINK("https://rmda.kulib.kyoto-u.ac.jp/item/rb00002938?page=105")</f>
        <v>https://rmda.kulib.kyoto-u.ac.jp/item/rb00002938?page=105</v>
      </c>
      <c r="E3247" s="22"/>
      <c r="F3247" s="22"/>
      <c r="G3247" s="22"/>
    </row>
    <row r="3248" spans="1:7" x14ac:dyDescent="0.15">
      <c r="A3248" s="41" t="s">
        <v>9307</v>
      </c>
      <c r="B3248" s="25" t="s">
        <v>9797</v>
      </c>
      <c r="C3248" s="19" t="s">
        <v>9798</v>
      </c>
      <c r="D3248" s="42" t="str">
        <f t="shared" si="233"/>
        <v>https://rmda.kulib.kyoto-u.ac.jp/item/rb00002938?page=105</v>
      </c>
      <c r="E3248" s="22"/>
      <c r="F3248" s="22"/>
      <c r="G3248" s="22"/>
    </row>
    <row r="3249" spans="1:7" x14ac:dyDescent="0.15">
      <c r="A3249" s="41" t="s">
        <v>9307</v>
      </c>
      <c r="B3249" s="25" t="s">
        <v>9799</v>
      </c>
      <c r="C3249" s="19" t="s">
        <v>9800</v>
      </c>
      <c r="D3249" s="42" t="str">
        <f t="shared" si="233"/>
        <v>https://rmda.kulib.kyoto-u.ac.jp/item/rb00002938?page=105</v>
      </c>
      <c r="E3249" s="22"/>
      <c r="F3249" s="22"/>
      <c r="G3249" s="22"/>
    </row>
    <row r="3250" spans="1:7" x14ac:dyDescent="0.15">
      <c r="A3250" s="41" t="s">
        <v>9307</v>
      </c>
      <c r="B3250" s="25" t="s">
        <v>9801</v>
      </c>
      <c r="C3250" s="19" t="s">
        <v>9802</v>
      </c>
      <c r="D3250" s="42" t="str">
        <f t="shared" si="233"/>
        <v>https://rmda.kulib.kyoto-u.ac.jp/item/rb00002938?page=105</v>
      </c>
      <c r="E3250" s="22"/>
      <c r="F3250" s="22"/>
      <c r="G3250" s="22"/>
    </row>
    <row r="3251" spans="1:7" x14ac:dyDescent="0.15">
      <c r="A3251" s="41" t="s">
        <v>9307</v>
      </c>
      <c r="B3251" s="25" t="s">
        <v>9803</v>
      </c>
      <c r="C3251" s="19" t="s">
        <v>9804</v>
      </c>
      <c r="D3251" s="42" t="str">
        <f t="shared" si="233"/>
        <v>https://rmda.kulib.kyoto-u.ac.jp/item/rb00002938?page=105</v>
      </c>
      <c r="E3251" s="22"/>
      <c r="F3251" s="22"/>
      <c r="G3251" s="22"/>
    </row>
    <row r="3252" spans="1:7" x14ac:dyDescent="0.15">
      <c r="A3252" s="41" t="s">
        <v>9307</v>
      </c>
      <c r="B3252" s="25" t="s">
        <v>9805</v>
      </c>
      <c r="C3252" s="19" t="s">
        <v>9806</v>
      </c>
      <c r="D3252" s="42" t="str">
        <f t="shared" si="233"/>
        <v>https://rmda.kulib.kyoto-u.ac.jp/item/rb00002938?page=105</v>
      </c>
      <c r="E3252" s="22"/>
      <c r="F3252" s="22"/>
      <c r="G3252" s="22"/>
    </row>
    <row r="3253" spans="1:7" x14ac:dyDescent="0.15">
      <c r="A3253" s="41" t="s">
        <v>9307</v>
      </c>
      <c r="B3253" s="25" t="s">
        <v>9807</v>
      </c>
      <c r="C3253" s="19" t="s">
        <v>9808</v>
      </c>
      <c r="D3253" s="42" t="str">
        <f>HYPERLINK("https://rmda.kulib.kyoto-u.ac.jp/item/rb00002938?page=106")</f>
        <v>https://rmda.kulib.kyoto-u.ac.jp/item/rb00002938?page=106</v>
      </c>
      <c r="E3253" s="22"/>
      <c r="F3253" s="22"/>
      <c r="G3253" s="22"/>
    </row>
    <row r="3254" spans="1:7" x14ac:dyDescent="0.15">
      <c r="A3254" s="41" t="s">
        <v>9307</v>
      </c>
      <c r="B3254" s="25" t="s">
        <v>9809</v>
      </c>
      <c r="C3254" s="19" t="s">
        <v>9810</v>
      </c>
      <c r="D3254" s="42" t="str">
        <f>HYPERLINK("https://rmda.kulib.kyoto-u.ac.jp/item/rb00002938?page=106")</f>
        <v>https://rmda.kulib.kyoto-u.ac.jp/item/rb00002938?page=106</v>
      </c>
      <c r="E3254" s="22"/>
      <c r="F3254" s="22"/>
      <c r="G3254" s="22"/>
    </row>
    <row r="3255" spans="1:7" x14ac:dyDescent="0.15">
      <c r="A3255" s="41" t="s">
        <v>9307</v>
      </c>
      <c r="B3255" s="25" t="s">
        <v>9811</v>
      </c>
      <c r="C3255" s="19" t="s">
        <v>9812</v>
      </c>
      <c r="D3255" s="42" t="str">
        <f>HYPERLINK("https://rmda.kulib.kyoto-u.ac.jp/item/rb00002938?page=106")</f>
        <v>https://rmda.kulib.kyoto-u.ac.jp/item/rb00002938?page=106</v>
      </c>
      <c r="E3255" s="22"/>
      <c r="F3255" s="22"/>
      <c r="G3255" s="22"/>
    </row>
    <row r="3256" spans="1:7" x14ac:dyDescent="0.15">
      <c r="A3256" s="41" t="s">
        <v>9307</v>
      </c>
      <c r="B3256" s="25" t="s">
        <v>9813</v>
      </c>
      <c r="C3256" s="19" t="s">
        <v>9814</v>
      </c>
      <c r="D3256" s="42" t="str">
        <f>HYPERLINK("https://rmda.kulib.kyoto-u.ac.jp/item/rb00002938?page=106")</f>
        <v>https://rmda.kulib.kyoto-u.ac.jp/item/rb00002938?page=106</v>
      </c>
      <c r="E3256" s="22"/>
      <c r="F3256" s="22"/>
      <c r="G3256" s="22"/>
    </row>
    <row r="3257" spans="1:7" x14ac:dyDescent="0.15">
      <c r="A3257" s="41" t="s">
        <v>9307</v>
      </c>
      <c r="B3257" s="25" t="s">
        <v>9815</v>
      </c>
      <c r="C3257" s="19" t="s">
        <v>9816</v>
      </c>
      <c r="D3257" s="42" t="str">
        <f>HYPERLINK("https://rmda.kulib.kyoto-u.ac.jp/item/rb00002938?page=106")</f>
        <v>https://rmda.kulib.kyoto-u.ac.jp/item/rb00002938?page=106</v>
      </c>
      <c r="E3257" s="22"/>
      <c r="F3257" s="22"/>
      <c r="G3257" s="22"/>
    </row>
    <row r="3258" spans="1:7" x14ac:dyDescent="0.15">
      <c r="A3258" s="41" t="s">
        <v>9307</v>
      </c>
      <c r="B3258" s="25" t="s">
        <v>9817</v>
      </c>
      <c r="C3258" s="19" t="s">
        <v>9818</v>
      </c>
      <c r="D3258" s="42" t="str">
        <f>HYPERLINK("https://rmda.kulib.kyoto-u.ac.jp/item/rb00002938?page=107")</f>
        <v>https://rmda.kulib.kyoto-u.ac.jp/item/rb00002938?page=107</v>
      </c>
      <c r="E3258" s="22"/>
      <c r="F3258" s="22"/>
      <c r="G3258" s="22"/>
    </row>
    <row r="3259" spans="1:7" x14ac:dyDescent="0.15">
      <c r="A3259" s="41" t="s">
        <v>9307</v>
      </c>
      <c r="B3259" s="25" t="s">
        <v>9819</v>
      </c>
      <c r="C3259" s="19" t="s">
        <v>9820</v>
      </c>
      <c r="D3259" s="42" t="str">
        <f>HYPERLINK("https://rmda.kulib.kyoto-u.ac.jp/item/rb00002938?page=107")</f>
        <v>https://rmda.kulib.kyoto-u.ac.jp/item/rb00002938?page=107</v>
      </c>
      <c r="E3259" s="22"/>
      <c r="F3259" s="22"/>
      <c r="G3259" s="22"/>
    </row>
    <row r="3260" spans="1:7" x14ac:dyDescent="0.15">
      <c r="A3260" s="41" t="s">
        <v>9307</v>
      </c>
      <c r="B3260" s="25" t="s">
        <v>9821</v>
      </c>
      <c r="C3260" s="19" t="s">
        <v>9822</v>
      </c>
      <c r="D3260" s="42" t="str">
        <f>HYPERLINK("https://rmda.kulib.kyoto-u.ac.jp/item/rb00002938?page=108")</f>
        <v>https://rmda.kulib.kyoto-u.ac.jp/item/rb00002938?page=108</v>
      </c>
      <c r="E3260" s="22"/>
      <c r="F3260" s="22"/>
      <c r="G3260" s="22"/>
    </row>
    <row r="3261" spans="1:7" x14ac:dyDescent="0.15">
      <c r="A3261" s="41" t="s">
        <v>9307</v>
      </c>
      <c r="B3261" s="25" t="s">
        <v>9823</v>
      </c>
      <c r="C3261" s="19" t="s">
        <v>9824</v>
      </c>
      <c r="D3261" s="42" t="str">
        <f t="shared" ref="D3261:D3268" si="234">HYPERLINK("https://rmda.kulib.kyoto-u.ac.jp/item/rb00002938?page=110")</f>
        <v>https://rmda.kulib.kyoto-u.ac.jp/item/rb00002938?page=110</v>
      </c>
      <c r="E3261" s="22"/>
      <c r="F3261" s="22"/>
      <c r="G3261" s="22"/>
    </row>
    <row r="3262" spans="1:7" x14ac:dyDescent="0.15">
      <c r="A3262" s="41" t="s">
        <v>9307</v>
      </c>
      <c r="B3262" s="25" t="s">
        <v>9825</v>
      </c>
      <c r="C3262" s="19" t="s">
        <v>9826</v>
      </c>
      <c r="D3262" s="42" t="str">
        <f t="shared" si="234"/>
        <v>https://rmda.kulib.kyoto-u.ac.jp/item/rb00002938?page=110</v>
      </c>
      <c r="E3262" s="22"/>
      <c r="F3262" s="22"/>
      <c r="G3262" s="22"/>
    </row>
    <row r="3263" spans="1:7" x14ac:dyDescent="0.15">
      <c r="A3263" s="41" t="s">
        <v>9307</v>
      </c>
      <c r="B3263" s="25" t="s">
        <v>9827</v>
      </c>
      <c r="C3263" s="19" t="s">
        <v>9828</v>
      </c>
      <c r="D3263" s="42" t="str">
        <f t="shared" si="234"/>
        <v>https://rmda.kulib.kyoto-u.ac.jp/item/rb00002938?page=110</v>
      </c>
      <c r="E3263" s="22"/>
      <c r="F3263" s="22"/>
      <c r="G3263" s="22"/>
    </row>
    <row r="3264" spans="1:7" x14ac:dyDescent="0.15">
      <c r="A3264" s="41" t="s">
        <v>9307</v>
      </c>
      <c r="B3264" s="25" t="s">
        <v>9829</v>
      </c>
      <c r="C3264" s="19" t="s">
        <v>9830</v>
      </c>
      <c r="D3264" s="42" t="str">
        <f t="shared" si="234"/>
        <v>https://rmda.kulib.kyoto-u.ac.jp/item/rb00002938?page=110</v>
      </c>
      <c r="E3264" s="22"/>
      <c r="F3264" s="22"/>
      <c r="G3264" s="22"/>
    </row>
    <row r="3265" spans="1:7" x14ac:dyDescent="0.15">
      <c r="A3265" s="41" t="s">
        <v>9307</v>
      </c>
      <c r="B3265" s="25" t="s">
        <v>9831</v>
      </c>
      <c r="C3265" s="19" t="s">
        <v>9832</v>
      </c>
      <c r="D3265" s="42" t="str">
        <f t="shared" si="234"/>
        <v>https://rmda.kulib.kyoto-u.ac.jp/item/rb00002938?page=110</v>
      </c>
      <c r="E3265" s="22"/>
      <c r="F3265" s="22"/>
      <c r="G3265" s="22"/>
    </row>
    <row r="3266" spans="1:7" x14ac:dyDescent="0.15">
      <c r="A3266" s="41" t="s">
        <v>9307</v>
      </c>
      <c r="B3266" s="25" t="s">
        <v>9833</v>
      </c>
      <c r="C3266" s="19" t="s">
        <v>9834</v>
      </c>
      <c r="D3266" s="42" t="str">
        <f t="shared" si="234"/>
        <v>https://rmda.kulib.kyoto-u.ac.jp/item/rb00002938?page=110</v>
      </c>
      <c r="E3266" s="22"/>
      <c r="F3266" s="22"/>
      <c r="G3266" s="22"/>
    </row>
    <row r="3267" spans="1:7" x14ac:dyDescent="0.15">
      <c r="A3267" s="41" t="s">
        <v>9307</v>
      </c>
      <c r="B3267" s="25" t="s">
        <v>9835</v>
      </c>
      <c r="C3267" s="19" t="s">
        <v>9836</v>
      </c>
      <c r="D3267" s="42" t="str">
        <f t="shared" si="234"/>
        <v>https://rmda.kulib.kyoto-u.ac.jp/item/rb00002938?page=110</v>
      </c>
      <c r="E3267" s="22"/>
      <c r="F3267" s="22"/>
      <c r="G3267" s="22"/>
    </row>
    <row r="3268" spans="1:7" x14ac:dyDescent="0.15">
      <c r="A3268" s="41" t="s">
        <v>9307</v>
      </c>
      <c r="B3268" s="25" t="s">
        <v>9837</v>
      </c>
      <c r="C3268" s="19" t="s">
        <v>9838</v>
      </c>
      <c r="D3268" s="42" t="str">
        <f t="shared" si="234"/>
        <v>https://rmda.kulib.kyoto-u.ac.jp/item/rb00002938?page=110</v>
      </c>
      <c r="E3268" s="22"/>
      <c r="F3268" s="22"/>
      <c r="G3268" s="22"/>
    </row>
    <row r="3269" spans="1:7" x14ac:dyDescent="0.15">
      <c r="A3269" s="41" t="s">
        <v>9307</v>
      </c>
      <c r="B3269" s="25" t="s">
        <v>9839</v>
      </c>
      <c r="C3269" s="19" t="s">
        <v>9840</v>
      </c>
      <c r="D3269" s="42" t="str">
        <f t="shared" ref="D3269:D3277" si="235">HYPERLINK("https://rmda.kulib.kyoto-u.ac.jp/item/rb00002938?page=111")</f>
        <v>https://rmda.kulib.kyoto-u.ac.jp/item/rb00002938?page=111</v>
      </c>
      <c r="E3269" s="22"/>
      <c r="F3269" s="22"/>
      <c r="G3269" s="22"/>
    </row>
    <row r="3270" spans="1:7" x14ac:dyDescent="0.15">
      <c r="A3270" s="41" t="s">
        <v>9307</v>
      </c>
      <c r="B3270" s="25" t="s">
        <v>9841</v>
      </c>
      <c r="C3270" s="19" t="s">
        <v>9842</v>
      </c>
      <c r="D3270" s="42" t="str">
        <f t="shared" si="235"/>
        <v>https://rmda.kulib.kyoto-u.ac.jp/item/rb00002938?page=111</v>
      </c>
      <c r="E3270" s="22"/>
      <c r="F3270" s="22"/>
      <c r="G3270" s="22"/>
    </row>
    <row r="3271" spans="1:7" x14ac:dyDescent="0.15">
      <c r="A3271" s="41" t="s">
        <v>9307</v>
      </c>
      <c r="B3271" s="25" t="s">
        <v>9843</v>
      </c>
      <c r="C3271" s="19" t="s">
        <v>9844</v>
      </c>
      <c r="D3271" s="42" t="str">
        <f t="shared" si="235"/>
        <v>https://rmda.kulib.kyoto-u.ac.jp/item/rb00002938?page=111</v>
      </c>
      <c r="E3271" s="22"/>
      <c r="F3271" s="22"/>
      <c r="G3271" s="22"/>
    </row>
    <row r="3272" spans="1:7" x14ac:dyDescent="0.15">
      <c r="A3272" s="41" t="s">
        <v>9307</v>
      </c>
      <c r="B3272" s="25" t="s">
        <v>9845</v>
      </c>
      <c r="C3272" s="19" t="s">
        <v>9846</v>
      </c>
      <c r="D3272" s="42" t="str">
        <f t="shared" si="235"/>
        <v>https://rmda.kulib.kyoto-u.ac.jp/item/rb00002938?page=111</v>
      </c>
      <c r="E3272" s="22"/>
      <c r="F3272" s="22"/>
      <c r="G3272" s="22"/>
    </row>
    <row r="3273" spans="1:7" x14ac:dyDescent="0.15">
      <c r="A3273" s="41" t="s">
        <v>9307</v>
      </c>
      <c r="B3273" s="25" t="s">
        <v>9847</v>
      </c>
      <c r="C3273" s="19" t="s">
        <v>9848</v>
      </c>
      <c r="D3273" s="42" t="str">
        <f t="shared" si="235"/>
        <v>https://rmda.kulib.kyoto-u.ac.jp/item/rb00002938?page=111</v>
      </c>
      <c r="E3273" s="22"/>
      <c r="F3273" s="22"/>
      <c r="G3273" s="22"/>
    </row>
    <row r="3274" spans="1:7" x14ac:dyDescent="0.15">
      <c r="A3274" s="41" t="s">
        <v>9307</v>
      </c>
      <c r="B3274" s="25" t="s">
        <v>9849</v>
      </c>
      <c r="C3274" s="19" t="s">
        <v>9850</v>
      </c>
      <c r="D3274" s="42" t="str">
        <f t="shared" si="235"/>
        <v>https://rmda.kulib.kyoto-u.ac.jp/item/rb00002938?page=111</v>
      </c>
      <c r="E3274" s="22"/>
      <c r="F3274" s="22"/>
      <c r="G3274" s="22"/>
    </row>
    <row r="3275" spans="1:7" x14ac:dyDescent="0.15">
      <c r="A3275" s="41" t="s">
        <v>9307</v>
      </c>
      <c r="B3275" s="25" t="s">
        <v>9851</v>
      </c>
      <c r="C3275" s="19" t="s">
        <v>9852</v>
      </c>
      <c r="D3275" s="42" t="str">
        <f t="shared" si="235"/>
        <v>https://rmda.kulib.kyoto-u.ac.jp/item/rb00002938?page=111</v>
      </c>
      <c r="E3275" s="22"/>
      <c r="F3275" s="22"/>
      <c r="G3275" s="22"/>
    </row>
    <row r="3276" spans="1:7" x14ac:dyDescent="0.15">
      <c r="A3276" s="41" t="s">
        <v>9307</v>
      </c>
      <c r="B3276" s="25" t="s">
        <v>9853</v>
      </c>
      <c r="C3276" s="19" t="s">
        <v>9854</v>
      </c>
      <c r="D3276" s="42" t="str">
        <f t="shared" si="235"/>
        <v>https://rmda.kulib.kyoto-u.ac.jp/item/rb00002938?page=111</v>
      </c>
      <c r="E3276" s="22"/>
      <c r="F3276" s="22"/>
      <c r="G3276" s="22"/>
    </row>
    <row r="3277" spans="1:7" x14ac:dyDescent="0.15">
      <c r="A3277" s="41" t="s">
        <v>9307</v>
      </c>
      <c r="B3277" s="25" t="s">
        <v>9855</v>
      </c>
      <c r="C3277" s="19" t="s">
        <v>9856</v>
      </c>
      <c r="D3277" s="42" t="str">
        <f t="shared" si="235"/>
        <v>https://rmda.kulib.kyoto-u.ac.jp/item/rb00002938?page=111</v>
      </c>
      <c r="E3277" s="22"/>
      <c r="F3277" s="22"/>
      <c r="G3277" s="22"/>
    </row>
    <row r="3278" spans="1:7" x14ac:dyDescent="0.15">
      <c r="A3278" s="41" t="s">
        <v>9307</v>
      </c>
      <c r="B3278" s="25" t="s">
        <v>9857</v>
      </c>
      <c r="C3278" s="19" t="s">
        <v>9858</v>
      </c>
      <c r="D3278" s="42" t="str">
        <f t="shared" ref="D3278:D3286" si="236">HYPERLINK("https://rmda.kulib.kyoto-u.ac.jp/item/rb00002938?page=112")</f>
        <v>https://rmda.kulib.kyoto-u.ac.jp/item/rb00002938?page=112</v>
      </c>
      <c r="E3278" s="22"/>
      <c r="F3278" s="22"/>
      <c r="G3278" s="22"/>
    </row>
    <row r="3279" spans="1:7" x14ac:dyDescent="0.15">
      <c r="A3279" s="41" t="s">
        <v>9307</v>
      </c>
      <c r="B3279" s="25" t="s">
        <v>9859</v>
      </c>
      <c r="C3279" s="19" t="s">
        <v>9860</v>
      </c>
      <c r="D3279" s="42" t="str">
        <f t="shared" si="236"/>
        <v>https://rmda.kulib.kyoto-u.ac.jp/item/rb00002938?page=112</v>
      </c>
      <c r="E3279" s="22"/>
      <c r="F3279" s="22"/>
      <c r="G3279" s="22"/>
    </row>
    <row r="3280" spans="1:7" x14ac:dyDescent="0.15">
      <c r="A3280" s="41" t="s">
        <v>9307</v>
      </c>
      <c r="B3280" s="25" t="s">
        <v>9861</v>
      </c>
      <c r="C3280" s="19" t="s">
        <v>9862</v>
      </c>
      <c r="D3280" s="42" t="str">
        <f t="shared" si="236"/>
        <v>https://rmda.kulib.kyoto-u.ac.jp/item/rb00002938?page=112</v>
      </c>
      <c r="E3280" s="22"/>
      <c r="F3280" s="22"/>
      <c r="G3280" s="22"/>
    </row>
    <row r="3281" spans="1:7" x14ac:dyDescent="0.15">
      <c r="A3281" s="41" t="s">
        <v>9307</v>
      </c>
      <c r="B3281" s="25" t="s">
        <v>9863</v>
      </c>
      <c r="C3281" s="19" t="s">
        <v>9864</v>
      </c>
      <c r="D3281" s="42" t="str">
        <f t="shared" si="236"/>
        <v>https://rmda.kulib.kyoto-u.ac.jp/item/rb00002938?page=112</v>
      </c>
      <c r="E3281" s="22"/>
      <c r="F3281" s="22"/>
      <c r="G3281" s="22"/>
    </row>
    <row r="3282" spans="1:7" x14ac:dyDescent="0.15">
      <c r="A3282" s="41" t="s">
        <v>9307</v>
      </c>
      <c r="B3282" s="25" t="s">
        <v>9865</v>
      </c>
      <c r="C3282" s="19" t="s">
        <v>9866</v>
      </c>
      <c r="D3282" s="42" t="str">
        <f t="shared" si="236"/>
        <v>https://rmda.kulib.kyoto-u.ac.jp/item/rb00002938?page=112</v>
      </c>
      <c r="E3282" s="22"/>
      <c r="F3282" s="22"/>
      <c r="G3282" s="22"/>
    </row>
    <row r="3283" spans="1:7" x14ac:dyDescent="0.15">
      <c r="A3283" s="41" t="s">
        <v>9307</v>
      </c>
      <c r="B3283" s="25" t="s">
        <v>9867</v>
      </c>
      <c r="C3283" s="19" t="s">
        <v>9868</v>
      </c>
      <c r="D3283" s="42" t="str">
        <f t="shared" si="236"/>
        <v>https://rmda.kulib.kyoto-u.ac.jp/item/rb00002938?page=112</v>
      </c>
      <c r="E3283" s="22"/>
      <c r="F3283" s="22"/>
      <c r="G3283" s="22"/>
    </row>
    <row r="3284" spans="1:7" x14ac:dyDescent="0.15">
      <c r="A3284" s="41" t="s">
        <v>9307</v>
      </c>
      <c r="B3284" s="25" t="s">
        <v>9869</v>
      </c>
      <c r="C3284" s="19" t="s">
        <v>9870</v>
      </c>
      <c r="D3284" s="42" t="str">
        <f t="shared" si="236"/>
        <v>https://rmda.kulib.kyoto-u.ac.jp/item/rb00002938?page=112</v>
      </c>
      <c r="E3284" s="22"/>
      <c r="F3284" s="22"/>
      <c r="G3284" s="22"/>
    </row>
    <row r="3285" spans="1:7" x14ac:dyDescent="0.15">
      <c r="A3285" s="41" t="s">
        <v>9307</v>
      </c>
      <c r="B3285" s="25" t="s">
        <v>9871</v>
      </c>
      <c r="C3285" s="19" t="s">
        <v>9872</v>
      </c>
      <c r="D3285" s="42" t="str">
        <f t="shared" si="236"/>
        <v>https://rmda.kulib.kyoto-u.ac.jp/item/rb00002938?page=112</v>
      </c>
      <c r="E3285" s="22"/>
      <c r="F3285" s="22"/>
      <c r="G3285" s="22"/>
    </row>
    <row r="3286" spans="1:7" x14ac:dyDescent="0.15">
      <c r="A3286" s="41" t="s">
        <v>9307</v>
      </c>
      <c r="B3286" s="25" t="s">
        <v>9873</v>
      </c>
      <c r="C3286" s="19" t="s">
        <v>9874</v>
      </c>
      <c r="D3286" s="42" t="str">
        <f t="shared" si="236"/>
        <v>https://rmda.kulib.kyoto-u.ac.jp/item/rb00002938?page=112</v>
      </c>
      <c r="E3286" s="22"/>
      <c r="F3286" s="22"/>
      <c r="G3286" s="22"/>
    </row>
    <row r="3287" spans="1:7" x14ac:dyDescent="0.15">
      <c r="A3287" s="41" t="s">
        <v>9307</v>
      </c>
      <c r="B3287" s="25" t="s">
        <v>9875</v>
      </c>
      <c r="C3287" s="19" t="s">
        <v>9876</v>
      </c>
      <c r="D3287" s="42" t="str">
        <f t="shared" ref="D3287:D3295" si="237">HYPERLINK("https://rmda.kulib.kyoto-u.ac.jp/item/rb00002938?page=113")</f>
        <v>https://rmda.kulib.kyoto-u.ac.jp/item/rb00002938?page=113</v>
      </c>
      <c r="E3287" s="22"/>
      <c r="F3287" s="22"/>
      <c r="G3287" s="22"/>
    </row>
    <row r="3288" spans="1:7" x14ac:dyDescent="0.15">
      <c r="A3288" s="41" t="s">
        <v>9307</v>
      </c>
      <c r="B3288" s="25" t="s">
        <v>9877</v>
      </c>
      <c r="C3288" s="19" t="s">
        <v>9878</v>
      </c>
      <c r="D3288" s="42" t="str">
        <f t="shared" si="237"/>
        <v>https://rmda.kulib.kyoto-u.ac.jp/item/rb00002938?page=113</v>
      </c>
      <c r="E3288" s="22"/>
      <c r="F3288" s="22"/>
      <c r="G3288" s="22"/>
    </row>
    <row r="3289" spans="1:7" x14ac:dyDescent="0.15">
      <c r="A3289" s="41" t="s">
        <v>9307</v>
      </c>
      <c r="B3289" s="25" t="s">
        <v>9879</v>
      </c>
      <c r="C3289" s="19" t="s">
        <v>9880</v>
      </c>
      <c r="D3289" s="42" t="str">
        <f t="shared" si="237"/>
        <v>https://rmda.kulib.kyoto-u.ac.jp/item/rb00002938?page=113</v>
      </c>
      <c r="E3289" s="22"/>
      <c r="F3289" s="22"/>
      <c r="G3289" s="22"/>
    </row>
    <row r="3290" spans="1:7" x14ac:dyDescent="0.15">
      <c r="A3290" s="41" t="s">
        <v>9307</v>
      </c>
      <c r="B3290" s="25" t="s">
        <v>9881</v>
      </c>
      <c r="C3290" s="19" t="s">
        <v>9882</v>
      </c>
      <c r="D3290" s="42" t="str">
        <f t="shared" si="237"/>
        <v>https://rmda.kulib.kyoto-u.ac.jp/item/rb00002938?page=113</v>
      </c>
      <c r="E3290" s="22"/>
      <c r="F3290" s="22"/>
      <c r="G3290" s="22"/>
    </row>
    <row r="3291" spans="1:7" x14ac:dyDescent="0.15">
      <c r="A3291" s="41" t="s">
        <v>9307</v>
      </c>
      <c r="B3291" s="25" t="s">
        <v>9883</v>
      </c>
      <c r="C3291" s="19" t="s">
        <v>9884</v>
      </c>
      <c r="D3291" s="42" t="str">
        <f t="shared" si="237"/>
        <v>https://rmda.kulib.kyoto-u.ac.jp/item/rb00002938?page=113</v>
      </c>
      <c r="E3291" s="22"/>
      <c r="F3291" s="22"/>
      <c r="G3291" s="22"/>
    </row>
    <row r="3292" spans="1:7" x14ac:dyDescent="0.15">
      <c r="A3292" s="41" t="s">
        <v>9307</v>
      </c>
      <c r="B3292" s="25" t="s">
        <v>9885</v>
      </c>
      <c r="C3292" s="19" t="s">
        <v>9886</v>
      </c>
      <c r="D3292" s="42" t="str">
        <f t="shared" si="237"/>
        <v>https://rmda.kulib.kyoto-u.ac.jp/item/rb00002938?page=113</v>
      </c>
      <c r="E3292" s="22"/>
      <c r="F3292" s="22"/>
      <c r="G3292" s="22"/>
    </row>
    <row r="3293" spans="1:7" x14ac:dyDescent="0.15">
      <c r="A3293" s="41" t="s">
        <v>9307</v>
      </c>
      <c r="B3293" s="25" t="s">
        <v>9887</v>
      </c>
      <c r="C3293" s="19" t="s">
        <v>9888</v>
      </c>
      <c r="D3293" s="42" t="str">
        <f t="shared" si="237"/>
        <v>https://rmda.kulib.kyoto-u.ac.jp/item/rb00002938?page=113</v>
      </c>
      <c r="E3293" s="22"/>
      <c r="F3293" s="22"/>
      <c r="G3293" s="22"/>
    </row>
    <row r="3294" spans="1:7" x14ac:dyDescent="0.15">
      <c r="A3294" s="41" t="s">
        <v>9307</v>
      </c>
      <c r="B3294" s="25" t="s">
        <v>9889</v>
      </c>
      <c r="C3294" s="19" t="s">
        <v>9890</v>
      </c>
      <c r="D3294" s="42" t="str">
        <f t="shared" si="237"/>
        <v>https://rmda.kulib.kyoto-u.ac.jp/item/rb00002938?page=113</v>
      </c>
      <c r="E3294" s="22"/>
      <c r="F3294" s="22"/>
      <c r="G3294" s="22"/>
    </row>
    <row r="3295" spans="1:7" x14ac:dyDescent="0.15">
      <c r="A3295" s="41" t="s">
        <v>9307</v>
      </c>
      <c r="B3295" s="25" t="s">
        <v>9891</v>
      </c>
      <c r="C3295" s="19" t="s">
        <v>9892</v>
      </c>
      <c r="D3295" s="42" t="str">
        <f t="shared" si="237"/>
        <v>https://rmda.kulib.kyoto-u.ac.jp/item/rb00002938?page=113</v>
      </c>
      <c r="E3295" s="22"/>
      <c r="F3295" s="22"/>
      <c r="G3295" s="22"/>
    </row>
    <row r="3296" spans="1:7" x14ac:dyDescent="0.15">
      <c r="A3296" s="41" t="s">
        <v>9307</v>
      </c>
      <c r="B3296" s="25" t="s">
        <v>9893</v>
      </c>
      <c r="C3296" s="19" t="s">
        <v>9894</v>
      </c>
      <c r="D3296" s="42" t="str">
        <f t="shared" ref="D3296:D3301" si="238">HYPERLINK("https://rmda.kulib.kyoto-u.ac.jp/item/rb00002938?page=114")</f>
        <v>https://rmda.kulib.kyoto-u.ac.jp/item/rb00002938?page=114</v>
      </c>
      <c r="E3296" s="22"/>
      <c r="F3296" s="22"/>
      <c r="G3296" s="22"/>
    </row>
    <row r="3297" spans="1:7" x14ac:dyDescent="0.15">
      <c r="A3297" s="41" t="s">
        <v>9307</v>
      </c>
      <c r="B3297" s="25" t="s">
        <v>9895</v>
      </c>
      <c r="C3297" s="19" t="s">
        <v>9896</v>
      </c>
      <c r="D3297" s="42" t="str">
        <f t="shared" si="238"/>
        <v>https://rmda.kulib.kyoto-u.ac.jp/item/rb00002938?page=114</v>
      </c>
      <c r="E3297" s="22"/>
      <c r="F3297" s="22"/>
      <c r="G3297" s="22"/>
    </row>
    <row r="3298" spans="1:7" x14ac:dyDescent="0.15">
      <c r="A3298" s="41" t="s">
        <v>9307</v>
      </c>
      <c r="B3298" s="25" t="s">
        <v>9897</v>
      </c>
      <c r="C3298" s="19" t="s">
        <v>9898</v>
      </c>
      <c r="D3298" s="42" t="str">
        <f t="shared" si="238"/>
        <v>https://rmda.kulib.kyoto-u.ac.jp/item/rb00002938?page=114</v>
      </c>
      <c r="E3298" s="22"/>
      <c r="F3298" s="22"/>
      <c r="G3298" s="22"/>
    </row>
    <row r="3299" spans="1:7" x14ac:dyDescent="0.15">
      <c r="A3299" s="41" t="s">
        <v>9307</v>
      </c>
      <c r="B3299" s="25" t="s">
        <v>9899</v>
      </c>
      <c r="C3299" s="19" t="s">
        <v>9900</v>
      </c>
      <c r="D3299" s="42" t="str">
        <f t="shared" si="238"/>
        <v>https://rmda.kulib.kyoto-u.ac.jp/item/rb00002938?page=114</v>
      </c>
      <c r="E3299" s="22"/>
      <c r="F3299" s="22"/>
      <c r="G3299" s="22"/>
    </row>
    <row r="3300" spans="1:7" x14ac:dyDescent="0.15">
      <c r="A3300" s="41" t="s">
        <v>9307</v>
      </c>
      <c r="B3300" s="25" t="s">
        <v>9901</v>
      </c>
      <c r="C3300" s="19" t="s">
        <v>9902</v>
      </c>
      <c r="D3300" s="42" t="str">
        <f t="shared" si="238"/>
        <v>https://rmda.kulib.kyoto-u.ac.jp/item/rb00002938?page=114</v>
      </c>
      <c r="E3300" s="22"/>
      <c r="F3300" s="22"/>
      <c r="G3300" s="22"/>
    </row>
    <row r="3301" spans="1:7" x14ac:dyDescent="0.15">
      <c r="A3301" s="41" t="s">
        <v>9307</v>
      </c>
      <c r="B3301" s="25" t="s">
        <v>9903</v>
      </c>
      <c r="C3301" s="19" t="s">
        <v>9904</v>
      </c>
      <c r="D3301" s="42" t="str">
        <f t="shared" si="238"/>
        <v>https://rmda.kulib.kyoto-u.ac.jp/item/rb00002938?page=114</v>
      </c>
      <c r="E3301" s="22"/>
      <c r="F3301" s="22"/>
      <c r="G3301" s="22"/>
    </row>
    <row r="3302" spans="1:7" x14ac:dyDescent="0.15">
      <c r="A3302" s="41" t="s">
        <v>9307</v>
      </c>
      <c r="B3302" s="25" t="s">
        <v>9905</v>
      </c>
      <c r="C3302" s="19" t="s">
        <v>9906</v>
      </c>
      <c r="D3302" s="42" t="str">
        <f>HYPERLINK("https://rmda.kulib.kyoto-u.ac.jp/item/rb00002938?page=115")</f>
        <v>https://rmda.kulib.kyoto-u.ac.jp/item/rb00002938?page=115</v>
      </c>
      <c r="E3302" s="22"/>
      <c r="F3302" s="22"/>
      <c r="G3302" s="22"/>
    </row>
    <row r="3303" spans="1:7" x14ac:dyDescent="0.15">
      <c r="A3303" s="41" t="s">
        <v>9307</v>
      </c>
      <c r="B3303" s="25" t="s">
        <v>9907</v>
      </c>
      <c r="C3303" s="19" t="s">
        <v>9908</v>
      </c>
      <c r="D3303" s="42" t="str">
        <f>HYPERLINK("https://rmda.kulib.kyoto-u.ac.jp/item/rb00002938?page=115")</f>
        <v>https://rmda.kulib.kyoto-u.ac.jp/item/rb00002938?page=115</v>
      </c>
      <c r="E3303" s="22"/>
      <c r="F3303" s="22"/>
      <c r="G3303" s="22"/>
    </row>
    <row r="3304" spans="1:7" x14ac:dyDescent="0.15">
      <c r="A3304" s="41" t="s">
        <v>9307</v>
      </c>
      <c r="B3304" s="25" t="s">
        <v>9909</v>
      </c>
      <c r="C3304" s="19" t="s">
        <v>9910</v>
      </c>
      <c r="D3304" s="42" t="str">
        <f>HYPERLINK("https://rmda.kulib.kyoto-u.ac.jp/item/rb00002938?page=116")</f>
        <v>https://rmda.kulib.kyoto-u.ac.jp/item/rb00002938?page=116</v>
      </c>
      <c r="E3304" s="22"/>
      <c r="F3304" s="22"/>
      <c r="G3304" s="22"/>
    </row>
    <row r="3305" spans="1:7" x14ac:dyDescent="0.15">
      <c r="A3305" s="41" t="s">
        <v>9307</v>
      </c>
      <c r="B3305" s="25" t="s">
        <v>9911</v>
      </c>
      <c r="C3305" s="19" t="s">
        <v>9912</v>
      </c>
      <c r="D3305" s="42" t="str">
        <f>HYPERLINK("https://rmda.kulib.kyoto-u.ac.jp/item/rb00002938?page=116")</f>
        <v>https://rmda.kulib.kyoto-u.ac.jp/item/rb00002938?page=116</v>
      </c>
      <c r="E3305" s="22"/>
      <c r="F3305" s="22"/>
      <c r="G3305" s="22"/>
    </row>
    <row r="3306" spans="1:7" x14ac:dyDescent="0.15">
      <c r="A3306" s="41" t="s">
        <v>9307</v>
      </c>
      <c r="B3306" s="25" t="s">
        <v>9913</v>
      </c>
      <c r="C3306" s="19" t="s">
        <v>9914</v>
      </c>
      <c r="D3306" s="42" t="str">
        <f>HYPERLINK("https://rmda.kulib.kyoto-u.ac.jp/item/rb00002938?page=116")</f>
        <v>https://rmda.kulib.kyoto-u.ac.jp/item/rb00002938?page=116</v>
      </c>
      <c r="E3306" s="22"/>
      <c r="F3306" s="22"/>
      <c r="G3306" s="22"/>
    </row>
    <row r="3307" spans="1:7" x14ac:dyDescent="0.15">
      <c r="A3307" s="41" t="s">
        <v>9307</v>
      </c>
      <c r="B3307" s="25" t="s">
        <v>9915</v>
      </c>
      <c r="C3307" s="19" t="s">
        <v>9916</v>
      </c>
      <c r="D3307" s="42" t="str">
        <f>HYPERLINK("https://rmda.kulib.kyoto-u.ac.jp/item/rb00002938?page=116")</f>
        <v>https://rmda.kulib.kyoto-u.ac.jp/item/rb00002938?page=116</v>
      </c>
      <c r="E3307" s="22"/>
      <c r="F3307" s="22"/>
      <c r="G3307" s="22"/>
    </row>
    <row r="3308" spans="1:7" x14ac:dyDescent="0.15">
      <c r="A3308" s="41" t="s">
        <v>9307</v>
      </c>
      <c r="B3308" s="25" t="s">
        <v>9917</v>
      </c>
      <c r="C3308" s="19" t="s">
        <v>9918</v>
      </c>
      <c r="D3308" s="42" t="str">
        <f>HYPERLINK("https://rmda.kulib.kyoto-u.ac.jp/item/rb00002938?page=116")</f>
        <v>https://rmda.kulib.kyoto-u.ac.jp/item/rb00002938?page=116</v>
      </c>
      <c r="E3308" s="22"/>
      <c r="F3308" s="22"/>
      <c r="G3308" s="22"/>
    </row>
    <row r="3309" spans="1:7" x14ac:dyDescent="0.15">
      <c r="A3309" s="41" t="s">
        <v>9307</v>
      </c>
      <c r="B3309" s="25" t="s">
        <v>9919</v>
      </c>
      <c r="C3309" s="19" t="s">
        <v>9920</v>
      </c>
      <c r="D3309" s="42" t="str">
        <f t="shared" ref="D3309:D3318" si="239">HYPERLINK("https://rmda.kulib.kyoto-u.ac.jp/item/rb00002938?page=117")</f>
        <v>https://rmda.kulib.kyoto-u.ac.jp/item/rb00002938?page=117</v>
      </c>
      <c r="E3309" s="22"/>
      <c r="F3309" s="22"/>
      <c r="G3309" s="22"/>
    </row>
    <row r="3310" spans="1:7" x14ac:dyDescent="0.15">
      <c r="A3310" s="41" t="s">
        <v>9307</v>
      </c>
      <c r="B3310" s="25" t="s">
        <v>9921</v>
      </c>
      <c r="C3310" s="19" t="s">
        <v>9922</v>
      </c>
      <c r="D3310" s="42" t="str">
        <f t="shared" si="239"/>
        <v>https://rmda.kulib.kyoto-u.ac.jp/item/rb00002938?page=117</v>
      </c>
      <c r="E3310" s="22"/>
      <c r="F3310" s="22"/>
      <c r="G3310" s="22"/>
    </row>
    <row r="3311" spans="1:7" x14ac:dyDescent="0.15">
      <c r="A3311" s="41" t="s">
        <v>9307</v>
      </c>
      <c r="B3311" s="25" t="s">
        <v>9923</v>
      </c>
      <c r="C3311" s="19" t="s">
        <v>9924</v>
      </c>
      <c r="D3311" s="42" t="str">
        <f t="shared" si="239"/>
        <v>https://rmda.kulib.kyoto-u.ac.jp/item/rb00002938?page=117</v>
      </c>
      <c r="E3311" s="22"/>
      <c r="F3311" s="22"/>
      <c r="G3311" s="22"/>
    </row>
    <row r="3312" spans="1:7" x14ac:dyDescent="0.15">
      <c r="A3312" s="41" t="s">
        <v>9307</v>
      </c>
      <c r="B3312" s="25" t="s">
        <v>9925</v>
      </c>
      <c r="C3312" s="19" t="s">
        <v>9926</v>
      </c>
      <c r="D3312" s="42" t="str">
        <f t="shared" si="239"/>
        <v>https://rmda.kulib.kyoto-u.ac.jp/item/rb00002938?page=117</v>
      </c>
      <c r="E3312" s="22"/>
      <c r="F3312" s="22"/>
      <c r="G3312" s="22"/>
    </row>
    <row r="3313" spans="1:7" x14ac:dyDescent="0.15">
      <c r="A3313" s="41" t="s">
        <v>9307</v>
      </c>
      <c r="B3313" s="25" t="s">
        <v>9927</v>
      </c>
      <c r="C3313" s="19" t="s">
        <v>9928</v>
      </c>
      <c r="D3313" s="42" t="str">
        <f t="shared" si="239"/>
        <v>https://rmda.kulib.kyoto-u.ac.jp/item/rb00002938?page=117</v>
      </c>
      <c r="E3313" s="22"/>
      <c r="F3313" s="22"/>
      <c r="G3313" s="22"/>
    </row>
    <row r="3314" spans="1:7" x14ac:dyDescent="0.15">
      <c r="A3314" s="41" t="s">
        <v>9307</v>
      </c>
      <c r="B3314" s="25" t="s">
        <v>9929</v>
      </c>
      <c r="C3314" s="19" t="s">
        <v>9930</v>
      </c>
      <c r="D3314" s="42" t="str">
        <f t="shared" si="239"/>
        <v>https://rmda.kulib.kyoto-u.ac.jp/item/rb00002938?page=117</v>
      </c>
      <c r="E3314" s="22"/>
      <c r="F3314" s="22"/>
      <c r="G3314" s="22"/>
    </row>
    <row r="3315" spans="1:7" x14ac:dyDescent="0.15">
      <c r="A3315" s="41" t="s">
        <v>9307</v>
      </c>
      <c r="B3315" s="25" t="s">
        <v>9931</v>
      </c>
      <c r="C3315" s="19" t="s">
        <v>9932</v>
      </c>
      <c r="D3315" s="42" t="str">
        <f t="shared" si="239"/>
        <v>https://rmda.kulib.kyoto-u.ac.jp/item/rb00002938?page=117</v>
      </c>
      <c r="E3315" s="22"/>
      <c r="F3315" s="22"/>
      <c r="G3315" s="22"/>
    </row>
    <row r="3316" spans="1:7" x14ac:dyDescent="0.15">
      <c r="A3316" s="41" t="s">
        <v>9307</v>
      </c>
      <c r="B3316" s="25" t="s">
        <v>9933</v>
      </c>
      <c r="C3316" s="19" t="s">
        <v>9934</v>
      </c>
      <c r="D3316" s="42" t="str">
        <f t="shared" si="239"/>
        <v>https://rmda.kulib.kyoto-u.ac.jp/item/rb00002938?page=117</v>
      </c>
      <c r="E3316" s="22"/>
      <c r="F3316" s="22"/>
      <c r="G3316" s="22"/>
    </row>
    <row r="3317" spans="1:7" x14ac:dyDescent="0.15">
      <c r="A3317" s="41" t="s">
        <v>9307</v>
      </c>
      <c r="B3317" s="25" t="s">
        <v>9935</v>
      </c>
      <c r="C3317" s="19" t="s">
        <v>9936</v>
      </c>
      <c r="D3317" s="42" t="str">
        <f t="shared" si="239"/>
        <v>https://rmda.kulib.kyoto-u.ac.jp/item/rb00002938?page=117</v>
      </c>
      <c r="E3317" s="22"/>
      <c r="F3317" s="22"/>
      <c r="G3317" s="22"/>
    </row>
    <row r="3318" spans="1:7" x14ac:dyDescent="0.15">
      <c r="A3318" s="41" t="s">
        <v>9307</v>
      </c>
      <c r="B3318" s="25" t="s">
        <v>9937</v>
      </c>
      <c r="C3318" s="19" t="s">
        <v>9938</v>
      </c>
      <c r="D3318" s="42" t="str">
        <f t="shared" si="239"/>
        <v>https://rmda.kulib.kyoto-u.ac.jp/item/rb00002938?page=117</v>
      </c>
      <c r="E3318" s="22"/>
      <c r="F3318" s="22"/>
      <c r="G3318" s="22"/>
    </row>
    <row r="3319" spans="1:7" x14ac:dyDescent="0.15">
      <c r="A3319" s="41" t="s">
        <v>9307</v>
      </c>
      <c r="B3319" s="25" t="s">
        <v>9939</v>
      </c>
      <c r="C3319" s="19" t="s">
        <v>9940</v>
      </c>
      <c r="D3319" s="42" t="str">
        <f t="shared" ref="D3319:D3329" si="240">HYPERLINK("https://rmda.kulib.kyoto-u.ac.jp/item/rb00002938?page=118")</f>
        <v>https://rmda.kulib.kyoto-u.ac.jp/item/rb00002938?page=118</v>
      </c>
      <c r="E3319" s="22"/>
      <c r="F3319" s="22"/>
      <c r="G3319" s="22"/>
    </row>
    <row r="3320" spans="1:7" x14ac:dyDescent="0.15">
      <c r="A3320" s="41" t="s">
        <v>9307</v>
      </c>
      <c r="B3320" s="25" t="s">
        <v>9941</v>
      </c>
      <c r="C3320" s="19" t="s">
        <v>9942</v>
      </c>
      <c r="D3320" s="42" t="str">
        <f t="shared" si="240"/>
        <v>https://rmda.kulib.kyoto-u.ac.jp/item/rb00002938?page=118</v>
      </c>
      <c r="E3320" s="22"/>
      <c r="F3320" s="22"/>
      <c r="G3320" s="22"/>
    </row>
    <row r="3321" spans="1:7" x14ac:dyDescent="0.15">
      <c r="A3321" s="41" t="s">
        <v>9307</v>
      </c>
      <c r="B3321" s="25" t="s">
        <v>9943</v>
      </c>
      <c r="C3321" s="19" t="s">
        <v>9944</v>
      </c>
      <c r="D3321" s="42" t="str">
        <f t="shared" si="240"/>
        <v>https://rmda.kulib.kyoto-u.ac.jp/item/rb00002938?page=118</v>
      </c>
      <c r="E3321" s="22"/>
      <c r="F3321" s="22"/>
      <c r="G3321" s="22"/>
    </row>
    <row r="3322" spans="1:7" x14ac:dyDescent="0.15">
      <c r="A3322" s="41" t="s">
        <v>9307</v>
      </c>
      <c r="B3322" s="25" t="s">
        <v>9945</v>
      </c>
      <c r="C3322" s="19" t="s">
        <v>9946</v>
      </c>
      <c r="D3322" s="42" t="str">
        <f t="shared" si="240"/>
        <v>https://rmda.kulib.kyoto-u.ac.jp/item/rb00002938?page=118</v>
      </c>
      <c r="E3322" s="22"/>
      <c r="F3322" s="22"/>
      <c r="G3322" s="22"/>
    </row>
    <row r="3323" spans="1:7" x14ac:dyDescent="0.15">
      <c r="A3323" s="41" t="s">
        <v>9307</v>
      </c>
      <c r="B3323" s="25" t="s">
        <v>9947</v>
      </c>
      <c r="C3323" s="19" t="s">
        <v>9948</v>
      </c>
      <c r="D3323" s="42" t="str">
        <f t="shared" si="240"/>
        <v>https://rmda.kulib.kyoto-u.ac.jp/item/rb00002938?page=118</v>
      </c>
      <c r="E3323" s="22"/>
      <c r="F3323" s="22"/>
      <c r="G3323" s="22"/>
    </row>
    <row r="3324" spans="1:7" x14ac:dyDescent="0.15">
      <c r="A3324" s="41" t="s">
        <v>9307</v>
      </c>
      <c r="B3324" s="25" t="s">
        <v>9949</v>
      </c>
      <c r="C3324" s="19" t="s">
        <v>9950</v>
      </c>
      <c r="D3324" s="42" t="str">
        <f t="shared" si="240"/>
        <v>https://rmda.kulib.kyoto-u.ac.jp/item/rb00002938?page=118</v>
      </c>
      <c r="E3324" s="22"/>
      <c r="F3324" s="22"/>
      <c r="G3324" s="22"/>
    </row>
    <row r="3325" spans="1:7" x14ac:dyDescent="0.15">
      <c r="A3325" s="41" t="s">
        <v>9307</v>
      </c>
      <c r="B3325" s="25" t="s">
        <v>9951</v>
      </c>
      <c r="C3325" s="19" t="s">
        <v>9952</v>
      </c>
      <c r="D3325" s="42" t="str">
        <f t="shared" si="240"/>
        <v>https://rmda.kulib.kyoto-u.ac.jp/item/rb00002938?page=118</v>
      </c>
      <c r="E3325" s="22"/>
      <c r="F3325" s="22"/>
      <c r="G3325" s="22"/>
    </row>
    <row r="3326" spans="1:7" x14ac:dyDescent="0.15">
      <c r="A3326" s="41" t="s">
        <v>9307</v>
      </c>
      <c r="B3326" s="25" t="s">
        <v>9953</v>
      </c>
      <c r="C3326" s="19" t="s">
        <v>9954</v>
      </c>
      <c r="D3326" s="42" t="str">
        <f t="shared" si="240"/>
        <v>https://rmda.kulib.kyoto-u.ac.jp/item/rb00002938?page=118</v>
      </c>
      <c r="E3326" s="22"/>
      <c r="F3326" s="22"/>
      <c r="G3326" s="22"/>
    </row>
    <row r="3327" spans="1:7" x14ac:dyDescent="0.15">
      <c r="A3327" s="41" t="s">
        <v>9307</v>
      </c>
      <c r="B3327" s="25" t="s">
        <v>9955</v>
      </c>
      <c r="C3327" s="19" t="s">
        <v>9956</v>
      </c>
      <c r="D3327" s="42" t="str">
        <f t="shared" si="240"/>
        <v>https://rmda.kulib.kyoto-u.ac.jp/item/rb00002938?page=118</v>
      </c>
      <c r="E3327" s="22"/>
      <c r="F3327" s="22"/>
      <c r="G3327" s="22"/>
    </row>
    <row r="3328" spans="1:7" x14ac:dyDescent="0.15">
      <c r="A3328" s="41" t="s">
        <v>9307</v>
      </c>
      <c r="B3328" s="25" t="s">
        <v>9957</v>
      </c>
      <c r="C3328" s="19" t="s">
        <v>9958</v>
      </c>
      <c r="D3328" s="42" t="str">
        <f t="shared" si="240"/>
        <v>https://rmda.kulib.kyoto-u.ac.jp/item/rb00002938?page=118</v>
      </c>
      <c r="E3328" s="22"/>
      <c r="F3328" s="22"/>
      <c r="G3328" s="22"/>
    </row>
    <row r="3329" spans="1:7" x14ac:dyDescent="0.15">
      <c r="A3329" s="41" t="s">
        <v>9307</v>
      </c>
      <c r="B3329" s="25" t="s">
        <v>9959</v>
      </c>
      <c r="C3329" s="19" t="s">
        <v>9960</v>
      </c>
      <c r="D3329" s="42" t="str">
        <f t="shared" si="240"/>
        <v>https://rmda.kulib.kyoto-u.ac.jp/item/rb00002938?page=118</v>
      </c>
      <c r="E3329" s="22"/>
      <c r="F3329" s="22"/>
      <c r="G3329" s="22"/>
    </row>
    <row r="3330" spans="1:7" x14ac:dyDescent="0.15">
      <c r="A3330" s="41" t="s">
        <v>9307</v>
      </c>
      <c r="B3330" s="25" t="s">
        <v>9961</v>
      </c>
      <c r="C3330" s="19" t="s">
        <v>9962</v>
      </c>
      <c r="D3330" s="42" t="str">
        <f>HYPERLINK("https://rmda.kulib.kyoto-u.ac.jp/item/rb00002938?page=119")</f>
        <v>https://rmda.kulib.kyoto-u.ac.jp/item/rb00002938?page=119</v>
      </c>
      <c r="E3330" s="22"/>
      <c r="F3330" s="22"/>
      <c r="G3330" s="22"/>
    </row>
    <row r="3331" spans="1:7" x14ac:dyDescent="0.15">
      <c r="A3331" s="41" t="s">
        <v>9307</v>
      </c>
      <c r="B3331" s="25" t="s">
        <v>9963</v>
      </c>
      <c r="C3331" s="19" t="s">
        <v>9964</v>
      </c>
      <c r="D3331" s="42" t="str">
        <f>HYPERLINK("https://rmda.kulib.kyoto-u.ac.jp/item/rb00002938?page=120")</f>
        <v>https://rmda.kulib.kyoto-u.ac.jp/item/rb00002938?page=120</v>
      </c>
      <c r="E3331" s="22"/>
      <c r="F3331" s="22"/>
      <c r="G3331" s="22"/>
    </row>
    <row r="3332" spans="1:7" x14ac:dyDescent="0.15">
      <c r="A3332" s="41" t="s">
        <v>9307</v>
      </c>
      <c r="B3332" s="25" t="s">
        <v>9965</v>
      </c>
      <c r="C3332" s="19" t="s">
        <v>9966</v>
      </c>
      <c r="D3332" s="42" t="str">
        <f>HYPERLINK("https://rmda.kulib.kyoto-u.ac.jp/item/rb00002938?page=120")</f>
        <v>https://rmda.kulib.kyoto-u.ac.jp/item/rb00002938?page=120</v>
      </c>
      <c r="E3332" s="22"/>
      <c r="F3332" s="22"/>
      <c r="G3332" s="22"/>
    </row>
    <row r="3333" spans="1:7" x14ac:dyDescent="0.15">
      <c r="A3333" s="41" t="s">
        <v>9307</v>
      </c>
      <c r="B3333" s="25" t="s">
        <v>9967</v>
      </c>
      <c r="C3333" s="19" t="s">
        <v>9968</v>
      </c>
      <c r="D3333" s="42" t="str">
        <f t="shared" ref="D3333:D3341" si="241">HYPERLINK("https://rmda.kulib.kyoto-u.ac.jp/item/rb00002938?page=121")</f>
        <v>https://rmda.kulib.kyoto-u.ac.jp/item/rb00002938?page=121</v>
      </c>
      <c r="E3333" s="22"/>
      <c r="F3333" s="22"/>
      <c r="G3333" s="22"/>
    </row>
    <row r="3334" spans="1:7" x14ac:dyDescent="0.15">
      <c r="A3334" s="41" t="s">
        <v>9307</v>
      </c>
      <c r="B3334" s="25" t="s">
        <v>9969</v>
      </c>
      <c r="C3334" s="19" t="s">
        <v>9970</v>
      </c>
      <c r="D3334" s="42" t="str">
        <f t="shared" si="241"/>
        <v>https://rmda.kulib.kyoto-u.ac.jp/item/rb00002938?page=121</v>
      </c>
      <c r="E3334" s="22"/>
      <c r="F3334" s="22"/>
      <c r="G3334" s="22"/>
    </row>
    <row r="3335" spans="1:7" x14ac:dyDescent="0.15">
      <c r="A3335" s="41" t="s">
        <v>9307</v>
      </c>
      <c r="B3335" s="25" t="s">
        <v>9971</v>
      </c>
      <c r="C3335" s="19" t="s">
        <v>9972</v>
      </c>
      <c r="D3335" s="42" t="str">
        <f t="shared" si="241"/>
        <v>https://rmda.kulib.kyoto-u.ac.jp/item/rb00002938?page=121</v>
      </c>
      <c r="E3335" s="22"/>
      <c r="F3335" s="22"/>
      <c r="G3335" s="22"/>
    </row>
    <row r="3336" spans="1:7" x14ac:dyDescent="0.15">
      <c r="A3336" s="41" t="s">
        <v>9307</v>
      </c>
      <c r="B3336" s="25" t="s">
        <v>9973</v>
      </c>
      <c r="C3336" s="19" t="s">
        <v>9974</v>
      </c>
      <c r="D3336" s="42" t="str">
        <f t="shared" si="241"/>
        <v>https://rmda.kulib.kyoto-u.ac.jp/item/rb00002938?page=121</v>
      </c>
      <c r="E3336" s="22"/>
      <c r="F3336" s="22"/>
      <c r="G3336" s="22"/>
    </row>
    <row r="3337" spans="1:7" x14ac:dyDescent="0.15">
      <c r="A3337" s="41" t="s">
        <v>9307</v>
      </c>
      <c r="B3337" s="25" t="s">
        <v>9975</v>
      </c>
      <c r="C3337" s="19" t="s">
        <v>9976</v>
      </c>
      <c r="D3337" s="42" t="str">
        <f t="shared" si="241"/>
        <v>https://rmda.kulib.kyoto-u.ac.jp/item/rb00002938?page=121</v>
      </c>
      <c r="E3337" s="22"/>
      <c r="F3337" s="22"/>
      <c r="G3337" s="22"/>
    </row>
    <row r="3338" spans="1:7" x14ac:dyDescent="0.15">
      <c r="A3338" s="41" t="s">
        <v>9307</v>
      </c>
      <c r="B3338" s="25" t="s">
        <v>9977</v>
      </c>
      <c r="C3338" s="19" t="s">
        <v>9978</v>
      </c>
      <c r="D3338" s="42" t="str">
        <f t="shared" si="241"/>
        <v>https://rmda.kulib.kyoto-u.ac.jp/item/rb00002938?page=121</v>
      </c>
      <c r="E3338" s="22"/>
      <c r="F3338" s="22"/>
      <c r="G3338" s="22"/>
    </row>
    <row r="3339" spans="1:7" x14ac:dyDescent="0.15">
      <c r="A3339" s="41" t="s">
        <v>9307</v>
      </c>
      <c r="B3339" s="25" t="s">
        <v>9979</v>
      </c>
      <c r="C3339" s="19" t="s">
        <v>9980</v>
      </c>
      <c r="D3339" s="42" t="str">
        <f t="shared" si="241"/>
        <v>https://rmda.kulib.kyoto-u.ac.jp/item/rb00002938?page=121</v>
      </c>
      <c r="E3339" s="22"/>
      <c r="F3339" s="22"/>
      <c r="G3339" s="22"/>
    </row>
    <row r="3340" spans="1:7" x14ac:dyDescent="0.15">
      <c r="A3340" s="41" t="s">
        <v>9307</v>
      </c>
      <c r="B3340" s="25" t="s">
        <v>9981</v>
      </c>
      <c r="C3340" s="19" t="s">
        <v>9982</v>
      </c>
      <c r="D3340" s="42" t="str">
        <f t="shared" si="241"/>
        <v>https://rmda.kulib.kyoto-u.ac.jp/item/rb00002938?page=121</v>
      </c>
      <c r="E3340" s="22"/>
      <c r="F3340" s="22"/>
      <c r="G3340" s="22"/>
    </row>
    <row r="3341" spans="1:7" x14ac:dyDescent="0.15">
      <c r="A3341" s="41" t="s">
        <v>9307</v>
      </c>
      <c r="B3341" s="25" t="s">
        <v>9983</v>
      </c>
      <c r="C3341" s="19" t="s">
        <v>9984</v>
      </c>
      <c r="D3341" s="42" t="str">
        <f t="shared" si="241"/>
        <v>https://rmda.kulib.kyoto-u.ac.jp/item/rb00002938?page=121</v>
      </c>
      <c r="E3341" s="22"/>
      <c r="F3341" s="22"/>
      <c r="G3341" s="22"/>
    </row>
    <row r="3342" spans="1:7" x14ac:dyDescent="0.15">
      <c r="A3342" s="41" t="s">
        <v>9307</v>
      </c>
      <c r="B3342" s="25" t="s">
        <v>9985</v>
      </c>
      <c r="C3342" s="19" t="s">
        <v>9986</v>
      </c>
      <c r="D3342" s="42" t="str">
        <f t="shared" ref="D3342:D3351" si="242">HYPERLINK("https://rmda.kulib.kyoto-u.ac.jp/item/rb00002938?page=122")</f>
        <v>https://rmda.kulib.kyoto-u.ac.jp/item/rb00002938?page=122</v>
      </c>
      <c r="E3342" s="22"/>
      <c r="F3342" s="22"/>
      <c r="G3342" s="22"/>
    </row>
    <row r="3343" spans="1:7" x14ac:dyDescent="0.15">
      <c r="A3343" s="41" t="s">
        <v>9307</v>
      </c>
      <c r="B3343" s="25" t="s">
        <v>9987</v>
      </c>
      <c r="C3343" s="19" t="s">
        <v>9988</v>
      </c>
      <c r="D3343" s="42" t="str">
        <f t="shared" si="242"/>
        <v>https://rmda.kulib.kyoto-u.ac.jp/item/rb00002938?page=122</v>
      </c>
      <c r="E3343" s="22"/>
      <c r="F3343" s="22"/>
      <c r="G3343" s="22"/>
    </row>
    <row r="3344" spans="1:7" x14ac:dyDescent="0.15">
      <c r="A3344" s="41" t="s">
        <v>9307</v>
      </c>
      <c r="B3344" s="25" t="s">
        <v>9989</v>
      </c>
      <c r="C3344" s="19" t="s">
        <v>9990</v>
      </c>
      <c r="D3344" s="42" t="str">
        <f t="shared" si="242"/>
        <v>https://rmda.kulib.kyoto-u.ac.jp/item/rb00002938?page=122</v>
      </c>
      <c r="E3344" s="22"/>
      <c r="F3344" s="22"/>
      <c r="G3344" s="22"/>
    </row>
    <row r="3345" spans="1:7" x14ac:dyDescent="0.15">
      <c r="A3345" s="41" t="s">
        <v>9307</v>
      </c>
      <c r="B3345" s="25" t="s">
        <v>9991</v>
      </c>
      <c r="C3345" s="19" t="s">
        <v>9992</v>
      </c>
      <c r="D3345" s="42" t="str">
        <f t="shared" si="242"/>
        <v>https://rmda.kulib.kyoto-u.ac.jp/item/rb00002938?page=122</v>
      </c>
      <c r="E3345" s="22"/>
      <c r="F3345" s="22"/>
      <c r="G3345" s="22"/>
    </row>
    <row r="3346" spans="1:7" x14ac:dyDescent="0.15">
      <c r="A3346" s="41" t="s">
        <v>9307</v>
      </c>
      <c r="B3346" s="25" t="s">
        <v>9993</v>
      </c>
      <c r="C3346" s="19" t="s">
        <v>9994</v>
      </c>
      <c r="D3346" s="42" t="str">
        <f t="shared" si="242"/>
        <v>https://rmda.kulib.kyoto-u.ac.jp/item/rb00002938?page=122</v>
      </c>
      <c r="E3346" s="22"/>
      <c r="F3346" s="22"/>
      <c r="G3346" s="22"/>
    </row>
    <row r="3347" spans="1:7" x14ac:dyDescent="0.15">
      <c r="A3347" s="41" t="s">
        <v>9307</v>
      </c>
      <c r="B3347" s="25" t="s">
        <v>9995</v>
      </c>
      <c r="C3347" s="19" t="s">
        <v>9996</v>
      </c>
      <c r="D3347" s="42" t="str">
        <f t="shared" si="242"/>
        <v>https://rmda.kulib.kyoto-u.ac.jp/item/rb00002938?page=122</v>
      </c>
      <c r="E3347" s="22"/>
      <c r="F3347" s="22"/>
      <c r="G3347" s="22"/>
    </row>
    <row r="3348" spans="1:7" x14ac:dyDescent="0.15">
      <c r="A3348" s="41" t="s">
        <v>9307</v>
      </c>
      <c r="B3348" s="25" t="s">
        <v>9997</v>
      </c>
      <c r="C3348" s="19" t="s">
        <v>9998</v>
      </c>
      <c r="D3348" s="42" t="str">
        <f t="shared" si="242"/>
        <v>https://rmda.kulib.kyoto-u.ac.jp/item/rb00002938?page=122</v>
      </c>
      <c r="E3348" s="22"/>
      <c r="F3348" s="22"/>
      <c r="G3348" s="22"/>
    </row>
    <row r="3349" spans="1:7" x14ac:dyDescent="0.15">
      <c r="A3349" s="41" t="s">
        <v>9307</v>
      </c>
      <c r="B3349" s="25" t="s">
        <v>9999</v>
      </c>
      <c r="C3349" s="19" t="s">
        <v>10000</v>
      </c>
      <c r="D3349" s="42" t="str">
        <f t="shared" si="242"/>
        <v>https://rmda.kulib.kyoto-u.ac.jp/item/rb00002938?page=122</v>
      </c>
      <c r="E3349" s="22"/>
      <c r="F3349" s="22"/>
      <c r="G3349" s="22"/>
    </row>
    <row r="3350" spans="1:7" x14ac:dyDescent="0.15">
      <c r="A3350" s="41" t="s">
        <v>9307</v>
      </c>
      <c r="B3350" s="25" t="s">
        <v>10001</v>
      </c>
      <c r="C3350" s="19" t="s">
        <v>10002</v>
      </c>
      <c r="D3350" s="42" t="str">
        <f t="shared" si="242"/>
        <v>https://rmda.kulib.kyoto-u.ac.jp/item/rb00002938?page=122</v>
      </c>
      <c r="E3350" s="22"/>
      <c r="F3350" s="22"/>
      <c r="G3350" s="22"/>
    </row>
    <row r="3351" spans="1:7" x14ac:dyDescent="0.15">
      <c r="A3351" s="41" t="s">
        <v>9307</v>
      </c>
      <c r="B3351" s="25" t="s">
        <v>10003</v>
      </c>
      <c r="C3351" s="19" t="s">
        <v>10004</v>
      </c>
      <c r="D3351" s="42" t="str">
        <f t="shared" si="242"/>
        <v>https://rmda.kulib.kyoto-u.ac.jp/item/rb00002938?page=122</v>
      </c>
      <c r="E3351" s="22"/>
      <c r="F3351" s="22"/>
      <c r="G3351" s="22"/>
    </row>
    <row r="3352" spans="1:7" x14ac:dyDescent="0.15">
      <c r="A3352" s="41" t="s">
        <v>9307</v>
      </c>
      <c r="B3352" s="25" t="s">
        <v>10005</v>
      </c>
      <c r="C3352" s="19" t="s">
        <v>10006</v>
      </c>
      <c r="D3352" s="42" t="str">
        <f t="shared" ref="D3352:D3360" si="243">HYPERLINK("https://rmda.kulib.kyoto-u.ac.jp/item/rb00002938?page=123")</f>
        <v>https://rmda.kulib.kyoto-u.ac.jp/item/rb00002938?page=123</v>
      </c>
      <c r="E3352" s="22"/>
      <c r="F3352" s="22"/>
      <c r="G3352" s="22"/>
    </row>
    <row r="3353" spans="1:7" x14ac:dyDescent="0.15">
      <c r="A3353" s="41" t="s">
        <v>9307</v>
      </c>
      <c r="B3353" s="25" t="s">
        <v>10007</v>
      </c>
      <c r="C3353" s="19" t="s">
        <v>10008</v>
      </c>
      <c r="D3353" s="42" t="str">
        <f t="shared" si="243"/>
        <v>https://rmda.kulib.kyoto-u.ac.jp/item/rb00002938?page=123</v>
      </c>
      <c r="E3353" s="22"/>
      <c r="F3353" s="22"/>
      <c r="G3353" s="22"/>
    </row>
    <row r="3354" spans="1:7" x14ac:dyDescent="0.15">
      <c r="A3354" s="41" t="s">
        <v>9307</v>
      </c>
      <c r="B3354" s="25" t="s">
        <v>10009</v>
      </c>
      <c r="C3354" s="19" t="s">
        <v>10010</v>
      </c>
      <c r="D3354" s="42" t="str">
        <f t="shared" si="243"/>
        <v>https://rmda.kulib.kyoto-u.ac.jp/item/rb00002938?page=123</v>
      </c>
      <c r="E3354" s="22"/>
      <c r="F3354" s="22"/>
      <c r="G3354" s="22"/>
    </row>
    <row r="3355" spans="1:7" x14ac:dyDescent="0.15">
      <c r="A3355" s="41" t="s">
        <v>9307</v>
      </c>
      <c r="B3355" s="25" t="s">
        <v>10011</v>
      </c>
      <c r="C3355" s="19" t="s">
        <v>10012</v>
      </c>
      <c r="D3355" s="42" t="str">
        <f t="shared" si="243"/>
        <v>https://rmda.kulib.kyoto-u.ac.jp/item/rb00002938?page=123</v>
      </c>
      <c r="E3355" s="22"/>
      <c r="F3355" s="22"/>
      <c r="G3355" s="22"/>
    </row>
    <row r="3356" spans="1:7" x14ac:dyDescent="0.15">
      <c r="A3356" s="41" t="s">
        <v>9307</v>
      </c>
      <c r="B3356" s="25" t="s">
        <v>10013</v>
      </c>
      <c r="C3356" s="19" t="s">
        <v>10014</v>
      </c>
      <c r="D3356" s="42" t="str">
        <f t="shared" si="243"/>
        <v>https://rmda.kulib.kyoto-u.ac.jp/item/rb00002938?page=123</v>
      </c>
      <c r="E3356" s="22"/>
      <c r="F3356" s="22"/>
      <c r="G3356" s="22"/>
    </row>
    <row r="3357" spans="1:7" x14ac:dyDescent="0.15">
      <c r="A3357" s="41" t="s">
        <v>9307</v>
      </c>
      <c r="B3357" s="25" t="s">
        <v>10015</v>
      </c>
      <c r="C3357" s="19" t="s">
        <v>10016</v>
      </c>
      <c r="D3357" s="42" t="str">
        <f t="shared" si="243"/>
        <v>https://rmda.kulib.kyoto-u.ac.jp/item/rb00002938?page=123</v>
      </c>
      <c r="E3357" s="22"/>
      <c r="F3357" s="22"/>
      <c r="G3357" s="22"/>
    </row>
    <row r="3358" spans="1:7" x14ac:dyDescent="0.15">
      <c r="A3358" s="41" t="s">
        <v>9307</v>
      </c>
      <c r="B3358" s="25" t="s">
        <v>10017</v>
      </c>
      <c r="C3358" s="19" t="s">
        <v>10018</v>
      </c>
      <c r="D3358" s="42" t="str">
        <f t="shared" si="243"/>
        <v>https://rmda.kulib.kyoto-u.ac.jp/item/rb00002938?page=123</v>
      </c>
      <c r="E3358" s="22"/>
      <c r="F3358" s="22"/>
      <c r="G3358" s="22"/>
    </row>
    <row r="3359" spans="1:7" x14ac:dyDescent="0.15">
      <c r="A3359" s="41" t="s">
        <v>9307</v>
      </c>
      <c r="B3359" s="25" t="s">
        <v>10019</v>
      </c>
      <c r="C3359" s="19" t="s">
        <v>10020</v>
      </c>
      <c r="D3359" s="42" t="str">
        <f t="shared" si="243"/>
        <v>https://rmda.kulib.kyoto-u.ac.jp/item/rb00002938?page=123</v>
      </c>
      <c r="E3359" s="22"/>
      <c r="F3359" s="22"/>
      <c r="G3359" s="22"/>
    </row>
    <row r="3360" spans="1:7" x14ac:dyDescent="0.15">
      <c r="A3360" s="41" t="s">
        <v>9307</v>
      </c>
      <c r="B3360" s="25" t="s">
        <v>10021</v>
      </c>
      <c r="C3360" s="19" t="s">
        <v>10022</v>
      </c>
      <c r="D3360" s="42" t="str">
        <f t="shared" si="243"/>
        <v>https://rmda.kulib.kyoto-u.ac.jp/item/rb00002938?page=123</v>
      </c>
      <c r="E3360" s="22"/>
      <c r="F3360" s="22"/>
      <c r="G3360" s="22"/>
    </row>
    <row r="3361" spans="1:7" x14ac:dyDescent="0.15">
      <c r="A3361" s="41" t="s">
        <v>9307</v>
      </c>
      <c r="B3361" s="25" t="s">
        <v>10023</v>
      </c>
      <c r="C3361" s="19" t="s">
        <v>10024</v>
      </c>
      <c r="D3361" s="42" t="str">
        <f>HYPERLINK("https://rmda.kulib.kyoto-u.ac.jp/item/rb00002938?page=124")</f>
        <v>https://rmda.kulib.kyoto-u.ac.jp/item/rb00002938?page=124</v>
      </c>
      <c r="E3361" s="22"/>
      <c r="F3361" s="22"/>
      <c r="G3361" s="22"/>
    </row>
    <row r="3362" spans="1:7" x14ac:dyDescent="0.15">
      <c r="A3362" s="41" t="s">
        <v>9307</v>
      </c>
      <c r="B3362" s="25" t="s">
        <v>10025</v>
      </c>
      <c r="C3362" s="19" t="s">
        <v>10026</v>
      </c>
      <c r="D3362" s="42" t="str">
        <f>HYPERLINK("https://rmda.kulib.kyoto-u.ac.jp/item/rb00002938?page=124")</f>
        <v>https://rmda.kulib.kyoto-u.ac.jp/item/rb00002938?page=124</v>
      </c>
      <c r="E3362" s="22"/>
      <c r="F3362" s="22"/>
      <c r="G3362" s="22"/>
    </row>
    <row r="3363" spans="1:7" x14ac:dyDescent="0.15">
      <c r="A3363" s="41" t="s">
        <v>9307</v>
      </c>
      <c r="B3363" s="25" t="s">
        <v>10027</v>
      </c>
      <c r="C3363" s="19" t="s">
        <v>10028</v>
      </c>
      <c r="D3363" s="42" t="str">
        <f>HYPERLINK("https://rmda.kulib.kyoto-u.ac.jp/item/rb00002938?page=124")</f>
        <v>https://rmda.kulib.kyoto-u.ac.jp/item/rb00002938?page=124</v>
      </c>
      <c r="E3363" s="22"/>
      <c r="F3363" s="22"/>
      <c r="G3363" s="22"/>
    </row>
    <row r="3364" spans="1:7" x14ac:dyDescent="0.15">
      <c r="A3364" s="41" t="s">
        <v>9307</v>
      </c>
      <c r="B3364" s="25" t="s">
        <v>10029</v>
      </c>
      <c r="C3364" s="19" t="s">
        <v>10030</v>
      </c>
      <c r="D3364" s="42" t="str">
        <f>HYPERLINK("https://rmda.kulib.kyoto-u.ac.jp/item/rb00002938?page=124")</f>
        <v>https://rmda.kulib.kyoto-u.ac.jp/item/rb00002938?page=124</v>
      </c>
      <c r="E3364" s="22"/>
      <c r="F3364" s="22"/>
      <c r="G3364" s="22"/>
    </row>
    <row r="3365" spans="1:7" x14ac:dyDescent="0.15">
      <c r="A3365" s="41" t="s">
        <v>9307</v>
      </c>
      <c r="B3365" s="25" t="s">
        <v>10031</v>
      </c>
      <c r="C3365" s="19" t="s">
        <v>10032</v>
      </c>
      <c r="D3365" s="42" t="str">
        <f>HYPERLINK("https://rmda.kulib.kyoto-u.ac.jp/item/rb00002938?page=125")</f>
        <v>https://rmda.kulib.kyoto-u.ac.jp/item/rb00002938?page=125</v>
      </c>
      <c r="E3365" s="22"/>
      <c r="F3365" s="22"/>
      <c r="G3365" s="22"/>
    </row>
    <row r="3366" spans="1:7" x14ac:dyDescent="0.15">
      <c r="A3366" s="41" t="s">
        <v>9307</v>
      </c>
      <c r="B3366" s="25" t="s">
        <v>10033</v>
      </c>
      <c r="C3366" s="19" t="s">
        <v>10034</v>
      </c>
      <c r="D3366" s="42" t="str">
        <f>HYPERLINK("https://rmda.kulib.kyoto-u.ac.jp/item/rb00002938?page=125")</f>
        <v>https://rmda.kulib.kyoto-u.ac.jp/item/rb00002938?page=125</v>
      </c>
      <c r="E3366" s="22"/>
      <c r="F3366" s="22"/>
      <c r="G3366" s="22"/>
    </row>
    <row r="3367" spans="1:7" x14ac:dyDescent="0.15">
      <c r="A3367" s="41" t="s">
        <v>9307</v>
      </c>
      <c r="B3367" s="25" t="s">
        <v>6769</v>
      </c>
      <c r="C3367" s="19"/>
      <c r="D3367" s="42" t="str">
        <f>HYPERLINK("https://rmda.kulib.kyoto-u.ac.jp/item/rb00002939?page=67")</f>
        <v>https://rmda.kulib.kyoto-u.ac.jp/item/rb00002939?page=67</v>
      </c>
      <c r="E3367" s="22"/>
      <c r="F3367" s="22"/>
      <c r="G3367" s="22"/>
    </row>
    <row r="3368" spans="1:7" x14ac:dyDescent="0.15">
      <c r="A3368" s="41" t="s">
        <v>9307</v>
      </c>
      <c r="B3368" s="25" t="s">
        <v>10035</v>
      </c>
      <c r="C3368" s="19" t="s">
        <v>10036</v>
      </c>
      <c r="D3368" s="42" t="str">
        <f>HYPERLINK("https://rmda.kulib.kyoto-u.ac.jp/item/rb00002939?page=75")</f>
        <v>https://rmda.kulib.kyoto-u.ac.jp/item/rb00002939?page=75</v>
      </c>
      <c r="E3368" s="22"/>
      <c r="F3368" s="22"/>
      <c r="G3368" s="22"/>
    </row>
    <row r="3369" spans="1:7" x14ac:dyDescent="0.15">
      <c r="A3369" s="41" t="s">
        <v>9307</v>
      </c>
      <c r="B3369" s="25" t="s">
        <v>10037</v>
      </c>
      <c r="C3369" s="19" t="s">
        <v>10038</v>
      </c>
      <c r="D3369" s="42" t="str">
        <f>HYPERLINK("https://rmda.kulib.kyoto-u.ac.jp/item/rb00002939?page=78")</f>
        <v>https://rmda.kulib.kyoto-u.ac.jp/item/rb00002939?page=78</v>
      </c>
      <c r="E3369" s="22"/>
      <c r="F3369" s="22"/>
      <c r="G3369" s="22"/>
    </row>
    <row r="3370" spans="1:7" x14ac:dyDescent="0.15">
      <c r="A3370" s="41" t="s">
        <v>9307</v>
      </c>
      <c r="B3370" s="25" t="s">
        <v>10039</v>
      </c>
      <c r="C3370" s="19" t="s">
        <v>10040</v>
      </c>
      <c r="D3370" s="42" t="str">
        <f>HYPERLINK("https://rmda.kulib.kyoto-u.ac.jp/item/rb00002939?page=78")</f>
        <v>https://rmda.kulib.kyoto-u.ac.jp/item/rb00002939?page=78</v>
      </c>
      <c r="E3370" s="22"/>
      <c r="F3370" s="22"/>
      <c r="G3370" s="22"/>
    </row>
    <row r="3371" spans="1:7" x14ac:dyDescent="0.15">
      <c r="A3371" s="41" t="s">
        <v>9307</v>
      </c>
      <c r="B3371" s="25" t="s">
        <v>10041</v>
      </c>
      <c r="C3371" s="19" t="s">
        <v>10042</v>
      </c>
      <c r="D3371" s="42" t="str">
        <f>HYPERLINK("https://rmda.kulib.kyoto-u.ac.jp/item/rb00002939?page=79")</f>
        <v>https://rmda.kulib.kyoto-u.ac.jp/item/rb00002939?page=79</v>
      </c>
      <c r="E3371" s="22"/>
      <c r="F3371" s="22"/>
      <c r="G3371" s="22"/>
    </row>
    <row r="3372" spans="1:7" x14ac:dyDescent="0.15">
      <c r="A3372" s="41" t="s">
        <v>9307</v>
      </c>
      <c r="B3372" s="25" t="s">
        <v>10043</v>
      </c>
      <c r="C3372" s="19" t="s">
        <v>10044</v>
      </c>
      <c r="D3372" s="42" t="str">
        <f>HYPERLINK("https://rmda.kulib.kyoto-u.ac.jp/item/rb00002939?page=79")</f>
        <v>https://rmda.kulib.kyoto-u.ac.jp/item/rb00002939?page=79</v>
      </c>
      <c r="E3372" s="22"/>
      <c r="F3372" s="22"/>
      <c r="G3372" s="22"/>
    </row>
    <row r="3373" spans="1:7" x14ac:dyDescent="0.15">
      <c r="A3373" s="41" t="s">
        <v>9307</v>
      </c>
      <c r="B3373" s="25" t="s">
        <v>10045</v>
      </c>
      <c r="C3373" s="19" t="s">
        <v>10046</v>
      </c>
      <c r="D3373" s="42" t="str">
        <f>HYPERLINK("https://rmda.kulib.kyoto-u.ac.jp/item/rb00002939?page=79")</f>
        <v>https://rmda.kulib.kyoto-u.ac.jp/item/rb00002939?page=79</v>
      </c>
      <c r="E3373" s="22"/>
      <c r="F3373" s="22"/>
      <c r="G3373" s="22"/>
    </row>
    <row r="3374" spans="1:7" x14ac:dyDescent="0.15">
      <c r="A3374" s="41" t="s">
        <v>9307</v>
      </c>
      <c r="B3374" s="25" t="s">
        <v>10047</v>
      </c>
      <c r="C3374" s="19" t="s">
        <v>10048</v>
      </c>
      <c r="D3374" s="42" t="str">
        <f>HYPERLINK("https://rmda.kulib.kyoto-u.ac.jp/item/rb00002939?page=79")</f>
        <v>https://rmda.kulib.kyoto-u.ac.jp/item/rb00002939?page=79</v>
      </c>
      <c r="E3374" s="22"/>
      <c r="F3374" s="22"/>
      <c r="G3374" s="22"/>
    </row>
    <row r="3375" spans="1:7" x14ac:dyDescent="0.15">
      <c r="A3375" s="41" t="s">
        <v>9307</v>
      </c>
      <c r="B3375" s="25" t="s">
        <v>10049</v>
      </c>
      <c r="C3375" s="19" t="s">
        <v>10050</v>
      </c>
      <c r="D3375" s="42" t="str">
        <f>HYPERLINK("https://rmda.kulib.kyoto-u.ac.jp/item/rb00002939?page=79")</f>
        <v>https://rmda.kulib.kyoto-u.ac.jp/item/rb00002939?page=79</v>
      </c>
      <c r="E3375" s="22"/>
      <c r="F3375" s="22"/>
      <c r="G3375" s="22"/>
    </row>
    <row r="3376" spans="1:7" x14ac:dyDescent="0.15">
      <c r="A3376" s="41" t="s">
        <v>9307</v>
      </c>
      <c r="B3376" s="25" t="s">
        <v>10051</v>
      </c>
      <c r="C3376" s="19" t="s">
        <v>10052</v>
      </c>
      <c r="D3376" s="42" t="str">
        <f t="shared" ref="D3376:D3381" si="244">HYPERLINK("https://rmda.kulib.kyoto-u.ac.jp/item/rb00002939?page=80")</f>
        <v>https://rmda.kulib.kyoto-u.ac.jp/item/rb00002939?page=80</v>
      </c>
      <c r="E3376" s="22"/>
      <c r="F3376" s="22"/>
      <c r="G3376" s="22"/>
    </row>
    <row r="3377" spans="1:7" x14ac:dyDescent="0.15">
      <c r="A3377" s="41" t="s">
        <v>9307</v>
      </c>
      <c r="B3377" s="25" t="s">
        <v>10053</v>
      </c>
      <c r="C3377" s="19" t="s">
        <v>10054</v>
      </c>
      <c r="D3377" s="42" t="str">
        <f t="shared" si="244"/>
        <v>https://rmda.kulib.kyoto-u.ac.jp/item/rb00002939?page=80</v>
      </c>
      <c r="E3377" s="22"/>
      <c r="F3377" s="22"/>
      <c r="G3377" s="22"/>
    </row>
    <row r="3378" spans="1:7" x14ac:dyDescent="0.15">
      <c r="A3378" s="41" t="s">
        <v>9307</v>
      </c>
      <c r="B3378" s="25" t="s">
        <v>10055</v>
      </c>
      <c r="C3378" s="19" t="s">
        <v>10056</v>
      </c>
      <c r="D3378" s="42" t="str">
        <f t="shared" si="244"/>
        <v>https://rmda.kulib.kyoto-u.ac.jp/item/rb00002939?page=80</v>
      </c>
      <c r="E3378" s="22"/>
      <c r="F3378" s="22"/>
      <c r="G3378" s="22"/>
    </row>
    <row r="3379" spans="1:7" x14ac:dyDescent="0.15">
      <c r="A3379" s="41" t="s">
        <v>9307</v>
      </c>
      <c r="B3379" s="25" t="s">
        <v>10057</v>
      </c>
      <c r="C3379" s="19" t="s">
        <v>10058</v>
      </c>
      <c r="D3379" s="42" t="str">
        <f t="shared" si="244"/>
        <v>https://rmda.kulib.kyoto-u.ac.jp/item/rb00002939?page=80</v>
      </c>
      <c r="E3379" s="22"/>
      <c r="F3379" s="22"/>
      <c r="G3379" s="22"/>
    </row>
    <row r="3380" spans="1:7" x14ac:dyDescent="0.15">
      <c r="A3380" s="41" t="s">
        <v>9307</v>
      </c>
      <c r="B3380" s="25" t="s">
        <v>10059</v>
      </c>
      <c r="C3380" s="19" t="s">
        <v>10060</v>
      </c>
      <c r="D3380" s="42" t="str">
        <f t="shared" si="244"/>
        <v>https://rmda.kulib.kyoto-u.ac.jp/item/rb00002939?page=80</v>
      </c>
      <c r="E3380" s="22"/>
      <c r="F3380" s="22"/>
      <c r="G3380" s="22"/>
    </row>
    <row r="3381" spans="1:7" x14ac:dyDescent="0.15">
      <c r="A3381" s="41" t="s">
        <v>9307</v>
      </c>
      <c r="B3381" s="25" t="s">
        <v>10061</v>
      </c>
      <c r="C3381" s="19" t="s">
        <v>10062</v>
      </c>
      <c r="D3381" s="42" t="str">
        <f t="shared" si="244"/>
        <v>https://rmda.kulib.kyoto-u.ac.jp/item/rb00002939?page=80</v>
      </c>
      <c r="E3381" s="22"/>
      <c r="F3381" s="22"/>
      <c r="G3381" s="22"/>
    </row>
    <row r="3382" spans="1:7" x14ac:dyDescent="0.15">
      <c r="A3382" s="41" t="s">
        <v>9307</v>
      </c>
      <c r="B3382" s="25" t="s">
        <v>10063</v>
      </c>
      <c r="C3382" s="19" t="s">
        <v>10064</v>
      </c>
      <c r="D3382" s="42" t="str">
        <f>HYPERLINK("https://rmda.kulib.kyoto-u.ac.jp/item/rb00002939?page=81")</f>
        <v>https://rmda.kulib.kyoto-u.ac.jp/item/rb00002939?page=81</v>
      </c>
      <c r="E3382" s="22"/>
      <c r="F3382" s="22"/>
      <c r="G3382" s="22"/>
    </row>
    <row r="3383" spans="1:7" x14ac:dyDescent="0.15">
      <c r="A3383" s="41" t="s">
        <v>9307</v>
      </c>
      <c r="B3383" s="25" t="s">
        <v>10065</v>
      </c>
      <c r="C3383" s="19" t="s">
        <v>10066</v>
      </c>
      <c r="D3383" s="42" t="str">
        <f>HYPERLINK("https://rmda.kulib.kyoto-u.ac.jp/item/rb00002939?page=81")</f>
        <v>https://rmda.kulib.kyoto-u.ac.jp/item/rb00002939?page=81</v>
      </c>
      <c r="E3383" s="22"/>
      <c r="F3383" s="22"/>
      <c r="G3383" s="22"/>
    </row>
    <row r="3384" spans="1:7" x14ac:dyDescent="0.15">
      <c r="A3384" s="41" t="s">
        <v>9307</v>
      </c>
      <c r="B3384" s="25" t="s">
        <v>10067</v>
      </c>
      <c r="C3384" s="19" t="s">
        <v>10068</v>
      </c>
      <c r="D3384" s="42" t="str">
        <f t="shared" ref="D3384:D3393" si="245">HYPERLINK("https://rmda.kulib.kyoto-u.ac.jp/item/rb00002939?page=82")</f>
        <v>https://rmda.kulib.kyoto-u.ac.jp/item/rb00002939?page=82</v>
      </c>
      <c r="E3384" s="22"/>
      <c r="F3384" s="22"/>
      <c r="G3384" s="22"/>
    </row>
    <row r="3385" spans="1:7" x14ac:dyDescent="0.15">
      <c r="A3385" s="41" t="s">
        <v>9307</v>
      </c>
      <c r="B3385" s="25" t="s">
        <v>10069</v>
      </c>
      <c r="C3385" s="19" t="s">
        <v>10070</v>
      </c>
      <c r="D3385" s="42" t="str">
        <f t="shared" si="245"/>
        <v>https://rmda.kulib.kyoto-u.ac.jp/item/rb00002939?page=82</v>
      </c>
      <c r="E3385" s="22"/>
      <c r="F3385" s="22"/>
      <c r="G3385" s="22"/>
    </row>
    <row r="3386" spans="1:7" x14ac:dyDescent="0.15">
      <c r="A3386" s="41" t="s">
        <v>9307</v>
      </c>
      <c r="B3386" s="25" t="s">
        <v>10071</v>
      </c>
      <c r="C3386" s="19" t="s">
        <v>10072</v>
      </c>
      <c r="D3386" s="42" t="str">
        <f t="shared" si="245"/>
        <v>https://rmda.kulib.kyoto-u.ac.jp/item/rb00002939?page=82</v>
      </c>
      <c r="E3386" s="22"/>
      <c r="F3386" s="22"/>
      <c r="G3386" s="22"/>
    </row>
    <row r="3387" spans="1:7" x14ac:dyDescent="0.15">
      <c r="A3387" s="41" t="s">
        <v>9307</v>
      </c>
      <c r="B3387" s="25" t="s">
        <v>10073</v>
      </c>
      <c r="C3387" s="19" t="s">
        <v>10074</v>
      </c>
      <c r="D3387" s="42" t="str">
        <f t="shared" si="245"/>
        <v>https://rmda.kulib.kyoto-u.ac.jp/item/rb00002939?page=82</v>
      </c>
      <c r="E3387" s="22"/>
      <c r="F3387" s="22"/>
      <c r="G3387" s="22"/>
    </row>
    <row r="3388" spans="1:7" x14ac:dyDescent="0.15">
      <c r="A3388" s="41" t="s">
        <v>9307</v>
      </c>
      <c r="B3388" s="25" t="s">
        <v>10075</v>
      </c>
      <c r="C3388" s="19" t="s">
        <v>10076</v>
      </c>
      <c r="D3388" s="42" t="str">
        <f t="shared" si="245"/>
        <v>https://rmda.kulib.kyoto-u.ac.jp/item/rb00002939?page=82</v>
      </c>
      <c r="E3388" s="22"/>
      <c r="F3388" s="22"/>
      <c r="G3388" s="22"/>
    </row>
    <row r="3389" spans="1:7" x14ac:dyDescent="0.15">
      <c r="A3389" s="41" t="s">
        <v>9307</v>
      </c>
      <c r="B3389" s="25" t="s">
        <v>10077</v>
      </c>
      <c r="C3389" s="19" t="s">
        <v>10078</v>
      </c>
      <c r="D3389" s="42" t="str">
        <f t="shared" si="245"/>
        <v>https://rmda.kulib.kyoto-u.ac.jp/item/rb00002939?page=82</v>
      </c>
      <c r="E3389" s="22"/>
      <c r="F3389" s="22"/>
      <c r="G3389" s="22"/>
    </row>
    <row r="3390" spans="1:7" x14ac:dyDescent="0.15">
      <c r="A3390" s="41" t="s">
        <v>9307</v>
      </c>
      <c r="B3390" s="25" t="s">
        <v>10079</v>
      </c>
      <c r="C3390" s="19" t="s">
        <v>10080</v>
      </c>
      <c r="D3390" s="42" t="str">
        <f t="shared" si="245"/>
        <v>https://rmda.kulib.kyoto-u.ac.jp/item/rb00002939?page=82</v>
      </c>
      <c r="E3390" s="22"/>
      <c r="F3390" s="22"/>
      <c r="G3390" s="22"/>
    </row>
    <row r="3391" spans="1:7" x14ac:dyDescent="0.15">
      <c r="A3391" s="41" t="s">
        <v>9307</v>
      </c>
      <c r="B3391" s="25" t="s">
        <v>10081</v>
      </c>
      <c r="C3391" s="19" t="s">
        <v>10082</v>
      </c>
      <c r="D3391" s="42" t="str">
        <f t="shared" si="245"/>
        <v>https://rmda.kulib.kyoto-u.ac.jp/item/rb00002939?page=82</v>
      </c>
      <c r="E3391" s="22"/>
      <c r="F3391" s="22"/>
      <c r="G3391" s="22"/>
    </row>
    <row r="3392" spans="1:7" x14ac:dyDescent="0.15">
      <c r="A3392" s="41" t="s">
        <v>9307</v>
      </c>
      <c r="B3392" s="25" t="s">
        <v>10083</v>
      </c>
      <c r="C3392" s="19" t="s">
        <v>10084</v>
      </c>
      <c r="D3392" s="42" t="str">
        <f t="shared" si="245"/>
        <v>https://rmda.kulib.kyoto-u.ac.jp/item/rb00002939?page=82</v>
      </c>
      <c r="E3392" s="22"/>
      <c r="F3392" s="22"/>
      <c r="G3392" s="22"/>
    </row>
    <row r="3393" spans="1:7" x14ac:dyDescent="0.15">
      <c r="A3393" s="41" t="s">
        <v>9307</v>
      </c>
      <c r="B3393" s="25" t="s">
        <v>10085</v>
      </c>
      <c r="C3393" s="19" t="s">
        <v>10086</v>
      </c>
      <c r="D3393" s="42" t="str">
        <f t="shared" si="245"/>
        <v>https://rmda.kulib.kyoto-u.ac.jp/item/rb00002939?page=82</v>
      </c>
      <c r="E3393" s="22"/>
      <c r="F3393" s="22"/>
      <c r="G3393" s="22"/>
    </row>
    <row r="3394" spans="1:7" x14ac:dyDescent="0.15">
      <c r="A3394" s="41" t="s">
        <v>9307</v>
      </c>
      <c r="B3394" s="25" t="s">
        <v>10087</v>
      </c>
      <c r="C3394" s="19" t="s">
        <v>10088</v>
      </c>
      <c r="D3394" s="42" t="str">
        <f t="shared" ref="D3394:D3399" si="246">HYPERLINK("https://rmda.kulib.kyoto-u.ac.jp/item/rb00002939?page=83")</f>
        <v>https://rmda.kulib.kyoto-u.ac.jp/item/rb00002939?page=83</v>
      </c>
      <c r="E3394" s="22"/>
      <c r="F3394" s="22"/>
      <c r="G3394" s="22"/>
    </row>
    <row r="3395" spans="1:7" x14ac:dyDescent="0.15">
      <c r="A3395" s="41" t="s">
        <v>9307</v>
      </c>
      <c r="B3395" s="25" t="s">
        <v>10089</v>
      </c>
      <c r="C3395" s="19" t="s">
        <v>10090</v>
      </c>
      <c r="D3395" s="42" t="str">
        <f t="shared" si="246"/>
        <v>https://rmda.kulib.kyoto-u.ac.jp/item/rb00002939?page=83</v>
      </c>
      <c r="E3395" s="22"/>
      <c r="F3395" s="22"/>
      <c r="G3395" s="22"/>
    </row>
    <row r="3396" spans="1:7" x14ac:dyDescent="0.15">
      <c r="A3396" s="41" t="s">
        <v>9307</v>
      </c>
      <c r="B3396" s="25" t="s">
        <v>10091</v>
      </c>
      <c r="C3396" s="19" t="s">
        <v>10092</v>
      </c>
      <c r="D3396" s="42" t="str">
        <f t="shared" si="246"/>
        <v>https://rmda.kulib.kyoto-u.ac.jp/item/rb00002939?page=83</v>
      </c>
      <c r="E3396" s="22"/>
      <c r="F3396" s="22"/>
      <c r="G3396" s="22"/>
    </row>
    <row r="3397" spans="1:7" x14ac:dyDescent="0.15">
      <c r="A3397" s="41" t="s">
        <v>9307</v>
      </c>
      <c r="B3397" s="25" t="s">
        <v>10093</v>
      </c>
      <c r="C3397" s="19" t="s">
        <v>10094</v>
      </c>
      <c r="D3397" s="42" t="str">
        <f t="shared" si="246"/>
        <v>https://rmda.kulib.kyoto-u.ac.jp/item/rb00002939?page=83</v>
      </c>
      <c r="E3397" s="22"/>
      <c r="F3397" s="22"/>
      <c r="G3397" s="22"/>
    </row>
    <row r="3398" spans="1:7" x14ac:dyDescent="0.15">
      <c r="A3398" s="41" t="s">
        <v>9307</v>
      </c>
      <c r="B3398" s="25" t="s">
        <v>10095</v>
      </c>
      <c r="C3398" s="19" t="s">
        <v>10096</v>
      </c>
      <c r="D3398" s="42" t="str">
        <f t="shared" si="246"/>
        <v>https://rmda.kulib.kyoto-u.ac.jp/item/rb00002939?page=83</v>
      </c>
      <c r="E3398" s="22"/>
      <c r="F3398" s="22"/>
      <c r="G3398" s="22"/>
    </row>
    <row r="3399" spans="1:7" ht="27" x14ac:dyDescent="0.15">
      <c r="A3399" s="41" t="s">
        <v>9307</v>
      </c>
      <c r="B3399" s="25" t="s">
        <v>10097</v>
      </c>
      <c r="C3399" s="19" t="s">
        <v>10098</v>
      </c>
      <c r="D3399" s="42" t="str">
        <f t="shared" si="246"/>
        <v>https://rmda.kulib.kyoto-u.ac.jp/item/rb00002939?page=83</v>
      </c>
      <c r="E3399" s="22"/>
      <c r="F3399" s="22"/>
      <c r="G3399" s="22"/>
    </row>
    <row r="3400" spans="1:7" x14ac:dyDescent="0.15">
      <c r="A3400" s="41" t="s">
        <v>9307</v>
      </c>
      <c r="B3400" s="25" t="s">
        <v>10099</v>
      </c>
      <c r="C3400" s="19" t="s">
        <v>10100</v>
      </c>
      <c r="D3400" s="42" t="str">
        <f t="shared" ref="D3400:D3406" si="247">HYPERLINK("https://rmda.kulib.kyoto-u.ac.jp/item/rb00002939?page=84")</f>
        <v>https://rmda.kulib.kyoto-u.ac.jp/item/rb00002939?page=84</v>
      </c>
      <c r="E3400" s="22"/>
      <c r="F3400" s="22"/>
      <c r="G3400" s="22"/>
    </row>
    <row r="3401" spans="1:7" x14ac:dyDescent="0.15">
      <c r="A3401" s="41" t="s">
        <v>9307</v>
      </c>
      <c r="B3401" s="25" t="s">
        <v>10101</v>
      </c>
      <c r="C3401" s="19" t="s">
        <v>10102</v>
      </c>
      <c r="D3401" s="42" t="str">
        <f t="shared" si="247"/>
        <v>https://rmda.kulib.kyoto-u.ac.jp/item/rb00002939?page=84</v>
      </c>
      <c r="E3401" s="22"/>
      <c r="F3401" s="22"/>
      <c r="G3401" s="22"/>
    </row>
    <row r="3402" spans="1:7" x14ac:dyDescent="0.15">
      <c r="A3402" s="41" t="s">
        <v>9307</v>
      </c>
      <c r="B3402" s="25" t="s">
        <v>10103</v>
      </c>
      <c r="C3402" s="19" t="s">
        <v>10104</v>
      </c>
      <c r="D3402" s="42" t="str">
        <f t="shared" si="247"/>
        <v>https://rmda.kulib.kyoto-u.ac.jp/item/rb00002939?page=84</v>
      </c>
      <c r="E3402" s="22"/>
      <c r="F3402" s="22"/>
      <c r="G3402" s="22"/>
    </row>
    <row r="3403" spans="1:7" x14ac:dyDescent="0.15">
      <c r="A3403" s="41" t="s">
        <v>9307</v>
      </c>
      <c r="B3403" s="25" t="s">
        <v>10105</v>
      </c>
      <c r="C3403" s="19" t="s">
        <v>10106</v>
      </c>
      <c r="D3403" s="42" t="str">
        <f t="shared" si="247"/>
        <v>https://rmda.kulib.kyoto-u.ac.jp/item/rb00002939?page=84</v>
      </c>
      <c r="E3403" s="22"/>
      <c r="F3403" s="22"/>
      <c r="G3403" s="22"/>
    </row>
    <row r="3404" spans="1:7" x14ac:dyDescent="0.15">
      <c r="A3404" s="41" t="s">
        <v>9307</v>
      </c>
      <c r="B3404" s="25" t="s">
        <v>10107</v>
      </c>
      <c r="C3404" s="19" t="s">
        <v>10108</v>
      </c>
      <c r="D3404" s="42" t="str">
        <f t="shared" si="247"/>
        <v>https://rmda.kulib.kyoto-u.ac.jp/item/rb00002939?page=84</v>
      </c>
      <c r="E3404" s="22"/>
      <c r="F3404" s="22"/>
      <c r="G3404" s="22"/>
    </row>
    <row r="3405" spans="1:7" x14ac:dyDescent="0.15">
      <c r="A3405" s="41" t="s">
        <v>9307</v>
      </c>
      <c r="B3405" s="25" t="s">
        <v>10109</v>
      </c>
      <c r="C3405" s="19" t="s">
        <v>10110</v>
      </c>
      <c r="D3405" s="42" t="str">
        <f t="shared" si="247"/>
        <v>https://rmda.kulib.kyoto-u.ac.jp/item/rb00002939?page=84</v>
      </c>
      <c r="E3405" s="22"/>
      <c r="F3405" s="22"/>
      <c r="G3405" s="22"/>
    </row>
    <row r="3406" spans="1:7" x14ac:dyDescent="0.15">
      <c r="A3406" s="41" t="s">
        <v>9307</v>
      </c>
      <c r="B3406" s="25" t="s">
        <v>10111</v>
      </c>
      <c r="C3406" s="19" t="s">
        <v>10112</v>
      </c>
      <c r="D3406" s="42" t="str">
        <f t="shared" si="247"/>
        <v>https://rmda.kulib.kyoto-u.ac.jp/item/rb00002939?page=84</v>
      </c>
      <c r="E3406" s="22"/>
      <c r="F3406" s="22"/>
      <c r="G3406" s="22"/>
    </row>
    <row r="3407" spans="1:7" x14ac:dyDescent="0.15">
      <c r="A3407" s="41" t="s">
        <v>9307</v>
      </c>
      <c r="B3407" s="25" t="s">
        <v>10113</v>
      </c>
      <c r="C3407" s="19" t="s">
        <v>10114</v>
      </c>
      <c r="D3407" s="42" t="str">
        <f>HYPERLINK("https://rmda.kulib.kyoto-u.ac.jp/item/rb00002939?page=85")</f>
        <v>https://rmda.kulib.kyoto-u.ac.jp/item/rb00002939?page=85</v>
      </c>
      <c r="E3407" s="22"/>
      <c r="F3407" s="22"/>
      <c r="G3407" s="22"/>
    </row>
    <row r="3408" spans="1:7" x14ac:dyDescent="0.15">
      <c r="A3408" s="41" t="s">
        <v>9307</v>
      </c>
      <c r="B3408" s="25" t="s">
        <v>10115</v>
      </c>
      <c r="C3408" s="19" t="s">
        <v>10116</v>
      </c>
      <c r="D3408" s="42" t="str">
        <f>HYPERLINK("https://rmda.kulib.kyoto-u.ac.jp/item/rb00002939?page=85")</f>
        <v>https://rmda.kulib.kyoto-u.ac.jp/item/rb00002939?page=85</v>
      </c>
      <c r="E3408" s="22"/>
      <c r="F3408" s="22"/>
      <c r="G3408" s="22"/>
    </row>
    <row r="3409" spans="1:7" x14ac:dyDescent="0.15">
      <c r="A3409" s="41" t="s">
        <v>9307</v>
      </c>
      <c r="B3409" s="25" t="s">
        <v>10117</v>
      </c>
      <c r="C3409" s="19" t="s">
        <v>10118</v>
      </c>
      <c r="D3409" s="42" t="str">
        <f>HYPERLINK("https://rmda.kulib.kyoto-u.ac.jp/item/rb00002939?page=85")</f>
        <v>https://rmda.kulib.kyoto-u.ac.jp/item/rb00002939?page=85</v>
      </c>
      <c r="E3409" s="22"/>
      <c r="F3409" s="22"/>
      <c r="G3409" s="22"/>
    </row>
    <row r="3410" spans="1:7" x14ac:dyDescent="0.15">
      <c r="A3410" s="41" t="s">
        <v>9307</v>
      </c>
      <c r="B3410" s="25" t="s">
        <v>10119</v>
      </c>
      <c r="C3410" s="19" t="s">
        <v>10120</v>
      </c>
      <c r="D3410" s="42" t="str">
        <f>HYPERLINK("https://rmda.kulib.kyoto-u.ac.jp/item/rb00002939?page=85")</f>
        <v>https://rmda.kulib.kyoto-u.ac.jp/item/rb00002939?page=85</v>
      </c>
      <c r="E3410" s="22"/>
      <c r="F3410" s="22"/>
      <c r="G3410" s="22"/>
    </row>
    <row r="3411" spans="1:7" x14ac:dyDescent="0.15">
      <c r="A3411" s="41" t="s">
        <v>9307</v>
      </c>
      <c r="B3411" s="25" t="s">
        <v>10121</v>
      </c>
      <c r="C3411" s="19" t="s">
        <v>10122</v>
      </c>
      <c r="D3411" s="42" t="str">
        <f>HYPERLINK("https://rmda.kulib.kyoto-u.ac.jp/item/rb00002939?page=86")</f>
        <v>https://rmda.kulib.kyoto-u.ac.jp/item/rb00002939?page=86</v>
      </c>
      <c r="E3411" s="22"/>
      <c r="F3411" s="22"/>
      <c r="G3411" s="22"/>
    </row>
    <row r="3412" spans="1:7" x14ac:dyDescent="0.15">
      <c r="A3412" s="41" t="s">
        <v>9307</v>
      </c>
      <c r="B3412" s="25" t="s">
        <v>10123</v>
      </c>
      <c r="C3412" s="19" t="s">
        <v>10124</v>
      </c>
      <c r="D3412" s="42" t="str">
        <f>HYPERLINK("https://rmda.kulib.kyoto-u.ac.jp/item/rb00002939?page=86")</f>
        <v>https://rmda.kulib.kyoto-u.ac.jp/item/rb00002939?page=86</v>
      </c>
      <c r="E3412" s="22"/>
      <c r="F3412" s="22"/>
      <c r="G3412" s="22"/>
    </row>
    <row r="3413" spans="1:7" x14ac:dyDescent="0.15">
      <c r="A3413" s="41" t="s">
        <v>9307</v>
      </c>
      <c r="B3413" s="25" t="s">
        <v>10125</v>
      </c>
      <c r="C3413" s="19" t="s">
        <v>10126</v>
      </c>
      <c r="D3413" s="42" t="str">
        <f>HYPERLINK("https://rmda.kulib.kyoto-u.ac.jp/item/rb00002939?page=86")</f>
        <v>https://rmda.kulib.kyoto-u.ac.jp/item/rb00002939?page=86</v>
      </c>
      <c r="E3413" s="22"/>
      <c r="F3413" s="22"/>
      <c r="G3413" s="22"/>
    </row>
    <row r="3414" spans="1:7" x14ac:dyDescent="0.15">
      <c r="A3414" s="41" t="s">
        <v>9307</v>
      </c>
      <c r="B3414" s="25" t="s">
        <v>10127</v>
      </c>
      <c r="C3414" s="19" t="s">
        <v>10128</v>
      </c>
      <c r="D3414" s="42" t="str">
        <f>HYPERLINK("https://rmda.kulib.kyoto-u.ac.jp/item/rb00002939?page=87")</f>
        <v>https://rmda.kulib.kyoto-u.ac.jp/item/rb00002939?page=87</v>
      </c>
      <c r="E3414" s="22"/>
      <c r="F3414" s="22"/>
      <c r="G3414" s="22"/>
    </row>
    <row r="3415" spans="1:7" x14ac:dyDescent="0.15">
      <c r="A3415" s="41" t="s">
        <v>9307</v>
      </c>
      <c r="B3415" s="25" t="s">
        <v>10129</v>
      </c>
      <c r="C3415" s="19" t="s">
        <v>10130</v>
      </c>
      <c r="D3415" s="42" t="str">
        <f>HYPERLINK("https://rmda.kulib.kyoto-u.ac.jp/item/rb00002939?page=87")</f>
        <v>https://rmda.kulib.kyoto-u.ac.jp/item/rb00002939?page=87</v>
      </c>
      <c r="E3415" s="22"/>
      <c r="F3415" s="22"/>
      <c r="G3415" s="22"/>
    </row>
    <row r="3416" spans="1:7" x14ac:dyDescent="0.15">
      <c r="A3416" s="41" t="s">
        <v>9307</v>
      </c>
      <c r="B3416" s="25" t="s">
        <v>10131</v>
      </c>
      <c r="C3416" s="19" t="s">
        <v>10132</v>
      </c>
      <c r="D3416" s="42" t="str">
        <f>HYPERLINK("https://rmda.kulib.kyoto-u.ac.jp/item/rb00002939?page=87")</f>
        <v>https://rmda.kulib.kyoto-u.ac.jp/item/rb00002939?page=87</v>
      </c>
      <c r="E3416" s="22"/>
      <c r="F3416" s="22"/>
      <c r="G3416" s="22"/>
    </row>
    <row r="3417" spans="1:7" x14ac:dyDescent="0.15">
      <c r="A3417" s="41" t="s">
        <v>9307</v>
      </c>
      <c r="B3417" s="25" t="s">
        <v>10133</v>
      </c>
      <c r="C3417" s="19" t="s">
        <v>10134</v>
      </c>
      <c r="D3417" s="42" t="str">
        <f>HYPERLINK("https://rmda.kulib.kyoto-u.ac.jp/item/rb00002939?page=89")</f>
        <v>https://rmda.kulib.kyoto-u.ac.jp/item/rb00002939?page=89</v>
      </c>
      <c r="E3417" s="22"/>
      <c r="F3417" s="22"/>
      <c r="G3417" s="22"/>
    </row>
    <row r="3418" spans="1:7" x14ac:dyDescent="0.15">
      <c r="A3418" s="41" t="s">
        <v>9307</v>
      </c>
      <c r="B3418" s="25" t="s">
        <v>10135</v>
      </c>
      <c r="C3418" s="19" t="s">
        <v>10136</v>
      </c>
      <c r="D3418" s="42" t="str">
        <f>HYPERLINK("https://rmda.kulib.kyoto-u.ac.jp/item/rb00002939?page=90")</f>
        <v>https://rmda.kulib.kyoto-u.ac.jp/item/rb00002939?page=90</v>
      </c>
      <c r="E3418" s="22"/>
      <c r="F3418" s="22"/>
      <c r="G3418" s="22"/>
    </row>
    <row r="3419" spans="1:7" x14ac:dyDescent="0.15">
      <c r="A3419" s="41" t="s">
        <v>9307</v>
      </c>
      <c r="B3419" s="25" t="s">
        <v>10137</v>
      </c>
      <c r="C3419" s="19" t="s">
        <v>10138</v>
      </c>
      <c r="D3419" s="42" t="str">
        <f t="shared" ref="D3419:D3424" si="248">HYPERLINK("https://rmda.kulib.kyoto-u.ac.jp/item/rb00002939?page=91")</f>
        <v>https://rmda.kulib.kyoto-u.ac.jp/item/rb00002939?page=91</v>
      </c>
      <c r="E3419" s="22"/>
      <c r="F3419" s="22"/>
      <c r="G3419" s="22"/>
    </row>
    <row r="3420" spans="1:7" x14ac:dyDescent="0.15">
      <c r="A3420" s="41" t="s">
        <v>9307</v>
      </c>
      <c r="B3420" s="25" t="s">
        <v>10139</v>
      </c>
      <c r="C3420" s="19" t="s">
        <v>10140</v>
      </c>
      <c r="D3420" s="42" t="str">
        <f t="shared" si="248"/>
        <v>https://rmda.kulib.kyoto-u.ac.jp/item/rb00002939?page=91</v>
      </c>
      <c r="E3420" s="22"/>
      <c r="F3420" s="22"/>
      <c r="G3420" s="22"/>
    </row>
    <row r="3421" spans="1:7" x14ac:dyDescent="0.15">
      <c r="A3421" s="41" t="s">
        <v>9307</v>
      </c>
      <c r="B3421" s="25" t="s">
        <v>10141</v>
      </c>
      <c r="C3421" s="19" t="s">
        <v>10142</v>
      </c>
      <c r="D3421" s="42" t="str">
        <f t="shared" si="248"/>
        <v>https://rmda.kulib.kyoto-u.ac.jp/item/rb00002939?page=91</v>
      </c>
      <c r="E3421" s="22"/>
      <c r="F3421" s="22"/>
      <c r="G3421" s="22"/>
    </row>
    <row r="3422" spans="1:7" x14ac:dyDescent="0.15">
      <c r="A3422" s="41" t="s">
        <v>9307</v>
      </c>
      <c r="B3422" s="25" t="s">
        <v>10143</v>
      </c>
      <c r="C3422" s="19" t="s">
        <v>10144</v>
      </c>
      <c r="D3422" s="42" t="str">
        <f t="shared" si="248"/>
        <v>https://rmda.kulib.kyoto-u.ac.jp/item/rb00002939?page=91</v>
      </c>
      <c r="E3422" s="22"/>
      <c r="F3422" s="22"/>
      <c r="G3422" s="22"/>
    </row>
    <row r="3423" spans="1:7" x14ac:dyDescent="0.15">
      <c r="A3423" s="41" t="s">
        <v>9307</v>
      </c>
      <c r="B3423" s="25" t="s">
        <v>10145</v>
      </c>
      <c r="C3423" s="19" t="s">
        <v>10146</v>
      </c>
      <c r="D3423" s="42" t="str">
        <f t="shared" si="248"/>
        <v>https://rmda.kulib.kyoto-u.ac.jp/item/rb00002939?page=91</v>
      </c>
      <c r="E3423" s="22"/>
      <c r="F3423" s="22"/>
      <c r="G3423" s="22"/>
    </row>
    <row r="3424" spans="1:7" x14ac:dyDescent="0.15">
      <c r="A3424" s="41" t="s">
        <v>9307</v>
      </c>
      <c r="B3424" s="25" t="s">
        <v>10147</v>
      </c>
      <c r="C3424" s="19" t="s">
        <v>10148</v>
      </c>
      <c r="D3424" s="42" t="str">
        <f t="shared" si="248"/>
        <v>https://rmda.kulib.kyoto-u.ac.jp/item/rb00002939?page=91</v>
      </c>
      <c r="E3424" s="22"/>
      <c r="F3424" s="22"/>
      <c r="G3424" s="22"/>
    </row>
    <row r="3425" spans="1:7" x14ac:dyDescent="0.15">
      <c r="A3425" s="41" t="s">
        <v>9307</v>
      </c>
      <c r="B3425" s="25" t="s">
        <v>10149</v>
      </c>
      <c r="C3425" s="19" t="s">
        <v>10150</v>
      </c>
      <c r="D3425" s="42" t="str">
        <f>HYPERLINK("https://rmda.kulib.kyoto-u.ac.jp/item/rb00002939?page=92")</f>
        <v>https://rmda.kulib.kyoto-u.ac.jp/item/rb00002939?page=92</v>
      </c>
      <c r="E3425" s="22"/>
      <c r="F3425" s="22"/>
      <c r="G3425" s="22"/>
    </row>
    <row r="3426" spans="1:7" x14ac:dyDescent="0.15">
      <c r="A3426" s="41" t="s">
        <v>9307</v>
      </c>
      <c r="B3426" s="25" t="s">
        <v>10151</v>
      </c>
      <c r="C3426" s="19" t="s">
        <v>10152</v>
      </c>
      <c r="D3426" s="42" t="str">
        <f>HYPERLINK("https://rmda.kulib.kyoto-u.ac.jp/item/rb00002939?page=92")</f>
        <v>https://rmda.kulib.kyoto-u.ac.jp/item/rb00002939?page=92</v>
      </c>
      <c r="E3426" s="22"/>
      <c r="F3426" s="22"/>
      <c r="G3426" s="22"/>
    </row>
    <row r="3427" spans="1:7" x14ac:dyDescent="0.15">
      <c r="A3427" s="41" t="s">
        <v>9307</v>
      </c>
      <c r="B3427" s="25" t="s">
        <v>10153</v>
      </c>
      <c r="C3427" s="19" t="s">
        <v>10154</v>
      </c>
      <c r="D3427" s="42" t="str">
        <f>HYPERLINK("https://rmda.kulib.kyoto-u.ac.jp/item/rb00002939?page=92")</f>
        <v>https://rmda.kulib.kyoto-u.ac.jp/item/rb00002939?page=92</v>
      </c>
      <c r="E3427" s="22"/>
      <c r="F3427" s="22"/>
      <c r="G3427" s="22"/>
    </row>
    <row r="3428" spans="1:7" x14ac:dyDescent="0.15">
      <c r="A3428" s="41" t="s">
        <v>9307</v>
      </c>
      <c r="B3428" s="25" t="s">
        <v>10155</v>
      </c>
      <c r="C3428" s="19" t="s">
        <v>10156</v>
      </c>
      <c r="D3428" s="42" t="str">
        <f>HYPERLINK("https://rmda.kulib.kyoto-u.ac.jp/item/rb00002939?page=92")</f>
        <v>https://rmda.kulib.kyoto-u.ac.jp/item/rb00002939?page=92</v>
      </c>
      <c r="E3428" s="22"/>
      <c r="F3428" s="22"/>
      <c r="G3428" s="22"/>
    </row>
    <row r="3429" spans="1:7" x14ac:dyDescent="0.15">
      <c r="A3429" s="41" t="s">
        <v>9307</v>
      </c>
      <c r="B3429" s="25" t="s">
        <v>10157</v>
      </c>
      <c r="C3429" s="19" t="s">
        <v>10158</v>
      </c>
      <c r="D3429" s="42" t="str">
        <f>HYPERLINK("https://rmda.kulib.kyoto-u.ac.jp/item/rb00002939?page=93")</f>
        <v>https://rmda.kulib.kyoto-u.ac.jp/item/rb00002939?page=93</v>
      </c>
      <c r="E3429" s="22"/>
      <c r="F3429" s="22"/>
      <c r="G3429" s="22"/>
    </row>
    <row r="3430" spans="1:7" x14ac:dyDescent="0.15">
      <c r="A3430" s="41" t="s">
        <v>9307</v>
      </c>
      <c r="B3430" s="25" t="s">
        <v>10159</v>
      </c>
      <c r="C3430" s="19" t="s">
        <v>10160</v>
      </c>
      <c r="D3430" s="42" t="str">
        <f>HYPERLINK("https://rmda.kulib.kyoto-u.ac.jp/item/rb00002939?page=93")</f>
        <v>https://rmda.kulib.kyoto-u.ac.jp/item/rb00002939?page=93</v>
      </c>
      <c r="E3430" s="22"/>
      <c r="F3430" s="22"/>
      <c r="G3430" s="22"/>
    </row>
    <row r="3431" spans="1:7" x14ac:dyDescent="0.15">
      <c r="A3431" s="41" t="s">
        <v>9307</v>
      </c>
      <c r="B3431" s="25" t="s">
        <v>10161</v>
      </c>
      <c r="C3431" s="19" t="s">
        <v>10162</v>
      </c>
      <c r="D3431" s="42" t="str">
        <f>HYPERLINK("https://rmda.kulib.kyoto-u.ac.jp/item/rb00002939?page=94")</f>
        <v>https://rmda.kulib.kyoto-u.ac.jp/item/rb00002939?page=94</v>
      </c>
      <c r="E3431" s="22"/>
      <c r="F3431" s="22"/>
      <c r="G3431" s="22"/>
    </row>
    <row r="3432" spans="1:7" x14ac:dyDescent="0.15">
      <c r="A3432" s="41" t="s">
        <v>9307</v>
      </c>
      <c r="B3432" s="25" t="s">
        <v>10163</v>
      </c>
      <c r="C3432" s="19" t="s">
        <v>10164</v>
      </c>
      <c r="D3432" s="42" t="str">
        <f>HYPERLINK("https://rmda.kulib.kyoto-u.ac.jp/item/rb00002939?page=94")</f>
        <v>https://rmda.kulib.kyoto-u.ac.jp/item/rb00002939?page=94</v>
      </c>
      <c r="E3432" s="22"/>
      <c r="F3432" s="22"/>
      <c r="G3432" s="22"/>
    </row>
    <row r="3433" spans="1:7" x14ac:dyDescent="0.15">
      <c r="A3433" s="41" t="s">
        <v>9307</v>
      </c>
      <c r="B3433" s="25" t="s">
        <v>10165</v>
      </c>
      <c r="C3433" s="19" t="s">
        <v>10166</v>
      </c>
      <c r="D3433" s="42" t="str">
        <f t="shared" ref="D3433:D3440" si="249">HYPERLINK("https://rmda.kulib.kyoto-u.ac.jp/item/rb00002939?page=95")</f>
        <v>https://rmda.kulib.kyoto-u.ac.jp/item/rb00002939?page=95</v>
      </c>
      <c r="E3433" s="22"/>
      <c r="F3433" s="22"/>
      <c r="G3433" s="22"/>
    </row>
    <row r="3434" spans="1:7" x14ac:dyDescent="0.15">
      <c r="A3434" s="41" t="s">
        <v>9307</v>
      </c>
      <c r="B3434" s="25" t="s">
        <v>10167</v>
      </c>
      <c r="C3434" s="19" t="s">
        <v>10168</v>
      </c>
      <c r="D3434" s="42" t="str">
        <f t="shared" si="249"/>
        <v>https://rmda.kulib.kyoto-u.ac.jp/item/rb00002939?page=95</v>
      </c>
      <c r="E3434" s="22"/>
      <c r="F3434" s="22"/>
      <c r="G3434" s="22"/>
    </row>
    <row r="3435" spans="1:7" x14ac:dyDescent="0.15">
      <c r="A3435" s="41" t="s">
        <v>9307</v>
      </c>
      <c r="B3435" s="25" t="s">
        <v>10169</v>
      </c>
      <c r="C3435" s="19" t="s">
        <v>10170</v>
      </c>
      <c r="D3435" s="42" t="str">
        <f t="shared" si="249"/>
        <v>https://rmda.kulib.kyoto-u.ac.jp/item/rb00002939?page=95</v>
      </c>
      <c r="E3435" s="22"/>
      <c r="F3435" s="22"/>
      <c r="G3435" s="22"/>
    </row>
    <row r="3436" spans="1:7" x14ac:dyDescent="0.15">
      <c r="A3436" s="41" t="s">
        <v>9307</v>
      </c>
      <c r="B3436" s="25" t="s">
        <v>10171</v>
      </c>
      <c r="C3436" s="19" t="s">
        <v>10172</v>
      </c>
      <c r="D3436" s="42" t="str">
        <f t="shared" si="249"/>
        <v>https://rmda.kulib.kyoto-u.ac.jp/item/rb00002939?page=95</v>
      </c>
      <c r="E3436" s="22"/>
      <c r="F3436" s="22"/>
      <c r="G3436" s="22"/>
    </row>
    <row r="3437" spans="1:7" x14ac:dyDescent="0.15">
      <c r="A3437" s="41" t="s">
        <v>9307</v>
      </c>
      <c r="B3437" s="25" t="s">
        <v>10173</v>
      </c>
      <c r="C3437" s="19" t="s">
        <v>10174</v>
      </c>
      <c r="D3437" s="42" t="str">
        <f t="shared" si="249"/>
        <v>https://rmda.kulib.kyoto-u.ac.jp/item/rb00002939?page=95</v>
      </c>
      <c r="E3437" s="22"/>
      <c r="F3437" s="22"/>
      <c r="G3437" s="22"/>
    </row>
    <row r="3438" spans="1:7" x14ac:dyDescent="0.15">
      <c r="A3438" s="41" t="s">
        <v>9307</v>
      </c>
      <c r="B3438" s="25" t="s">
        <v>10175</v>
      </c>
      <c r="C3438" s="19" t="s">
        <v>10176</v>
      </c>
      <c r="D3438" s="42" t="str">
        <f t="shared" si="249"/>
        <v>https://rmda.kulib.kyoto-u.ac.jp/item/rb00002939?page=95</v>
      </c>
      <c r="E3438" s="22"/>
      <c r="F3438" s="22"/>
      <c r="G3438" s="22"/>
    </row>
    <row r="3439" spans="1:7" ht="27" x14ac:dyDescent="0.15">
      <c r="A3439" s="41" t="s">
        <v>9307</v>
      </c>
      <c r="B3439" s="25" t="s">
        <v>10177</v>
      </c>
      <c r="C3439" s="19" t="s">
        <v>10178</v>
      </c>
      <c r="D3439" s="42" t="str">
        <f t="shared" si="249"/>
        <v>https://rmda.kulib.kyoto-u.ac.jp/item/rb00002939?page=95</v>
      </c>
      <c r="E3439" s="22"/>
      <c r="F3439" s="22"/>
      <c r="G3439" s="22"/>
    </row>
    <row r="3440" spans="1:7" x14ac:dyDescent="0.15">
      <c r="A3440" s="41" t="s">
        <v>9307</v>
      </c>
      <c r="B3440" s="25" t="s">
        <v>10179</v>
      </c>
      <c r="C3440" s="19" t="s">
        <v>10180</v>
      </c>
      <c r="D3440" s="42" t="str">
        <f t="shared" si="249"/>
        <v>https://rmda.kulib.kyoto-u.ac.jp/item/rb00002939?page=95</v>
      </c>
      <c r="E3440" s="22"/>
      <c r="F3440" s="22"/>
      <c r="G3440" s="22"/>
    </row>
    <row r="3441" spans="1:7" x14ac:dyDescent="0.15">
      <c r="A3441" s="41" t="s">
        <v>9307</v>
      </c>
      <c r="B3441" s="25" t="s">
        <v>10181</v>
      </c>
      <c r="C3441" s="19" t="s">
        <v>10182</v>
      </c>
      <c r="D3441" s="42" t="str">
        <f>HYPERLINK("https://rmda.kulib.kyoto-u.ac.jp/item/rb00002939?page=96")</f>
        <v>https://rmda.kulib.kyoto-u.ac.jp/item/rb00002939?page=96</v>
      </c>
      <c r="E3441" s="22"/>
      <c r="F3441" s="22"/>
      <c r="G3441" s="22"/>
    </row>
    <row r="3442" spans="1:7" x14ac:dyDescent="0.15">
      <c r="A3442" s="41" t="s">
        <v>9307</v>
      </c>
      <c r="B3442" s="25" t="s">
        <v>10183</v>
      </c>
      <c r="C3442" s="19" t="s">
        <v>10184</v>
      </c>
      <c r="D3442" s="42" t="str">
        <f>HYPERLINK("https://rmda.kulib.kyoto-u.ac.jp/item/rb00002939?page=96")</f>
        <v>https://rmda.kulib.kyoto-u.ac.jp/item/rb00002939?page=96</v>
      </c>
      <c r="E3442" s="22"/>
      <c r="F3442" s="22"/>
      <c r="G3442" s="22"/>
    </row>
    <row r="3443" spans="1:7" x14ac:dyDescent="0.15">
      <c r="A3443" s="41" t="s">
        <v>9307</v>
      </c>
      <c r="B3443" s="25" t="s">
        <v>10185</v>
      </c>
      <c r="C3443" s="19" t="s">
        <v>10186</v>
      </c>
      <c r="D3443" s="42" t="str">
        <f t="shared" ref="D3443:D3449" si="250">HYPERLINK("https://rmda.kulib.kyoto-u.ac.jp/item/rb00002939?page=98")</f>
        <v>https://rmda.kulib.kyoto-u.ac.jp/item/rb00002939?page=98</v>
      </c>
      <c r="E3443" s="22"/>
      <c r="F3443" s="22"/>
      <c r="G3443" s="22"/>
    </row>
    <row r="3444" spans="1:7" x14ac:dyDescent="0.15">
      <c r="A3444" s="41" t="s">
        <v>9307</v>
      </c>
      <c r="B3444" s="25" t="s">
        <v>10187</v>
      </c>
      <c r="C3444" s="19" t="s">
        <v>10188</v>
      </c>
      <c r="D3444" s="42" t="str">
        <f t="shared" si="250"/>
        <v>https://rmda.kulib.kyoto-u.ac.jp/item/rb00002939?page=98</v>
      </c>
      <c r="E3444" s="22"/>
      <c r="F3444" s="22"/>
      <c r="G3444" s="22"/>
    </row>
    <row r="3445" spans="1:7" x14ac:dyDescent="0.15">
      <c r="A3445" s="41" t="s">
        <v>9307</v>
      </c>
      <c r="B3445" s="25" t="s">
        <v>10189</v>
      </c>
      <c r="C3445" s="19" t="s">
        <v>10190</v>
      </c>
      <c r="D3445" s="42" t="str">
        <f t="shared" si="250"/>
        <v>https://rmda.kulib.kyoto-u.ac.jp/item/rb00002939?page=98</v>
      </c>
      <c r="E3445" s="22"/>
      <c r="F3445" s="22"/>
      <c r="G3445" s="22"/>
    </row>
    <row r="3446" spans="1:7" x14ac:dyDescent="0.15">
      <c r="A3446" s="41" t="s">
        <v>9307</v>
      </c>
      <c r="B3446" s="25" t="s">
        <v>10191</v>
      </c>
      <c r="C3446" s="19" t="s">
        <v>10192</v>
      </c>
      <c r="D3446" s="42" t="str">
        <f t="shared" si="250"/>
        <v>https://rmda.kulib.kyoto-u.ac.jp/item/rb00002939?page=98</v>
      </c>
      <c r="E3446" s="22"/>
      <c r="F3446" s="22"/>
      <c r="G3446" s="22"/>
    </row>
    <row r="3447" spans="1:7" x14ac:dyDescent="0.15">
      <c r="A3447" s="41" t="s">
        <v>9307</v>
      </c>
      <c r="B3447" s="25" t="s">
        <v>10193</v>
      </c>
      <c r="C3447" s="19" t="s">
        <v>10194</v>
      </c>
      <c r="D3447" s="42" t="str">
        <f t="shared" si="250"/>
        <v>https://rmda.kulib.kyoto-u.ac.jp/item/rb00002939?page=98</v>
      </c>
      <c r="E3447" s="22"/>
      <c r="F3447" s="22"/>
      <c r="G3447" s="22"/>
    </row>
    <row r="3448" spans="1:7" x14ac:dyDescent="0.15">
      <c r="A3448" s="41" t="s">
        <v>9307</v>
      </c>
      <c r="B3448" s="25" t="s">
        <v>10195</v>
      </c>
      <c r="C3448" s="19" t="s">
        <v>10196</v>
      </c>
      <c r="D3448" s="42" t="str">
        <f t="shared" si="250"/>
        <v>https://rmda.kulib.kyoto-u.ac.jp/item/rb00002939?page=98</v>
      </c>
      <c r="E3448" s="22"/>
      <c r="F3448" s="22"/>
      <c r="G3448" s="22"/>
    </row>
    <row r="3449" spans="1:7" x14ac:dyDescent="0.15">
      <c r="A3449" s="41" t="s">
        <v>9307</v>
      </c>
      <c r="B3449" s="25" t="s">
        <v>10197</v>
      </c>
      <c r="C3449" s="19" t="s">
        <v>10198</v>
      </c>
      <c r="D3449" s="42" t="str">
        <f t="shared" si="250"/>
        <v>https://rmda.kulib.kyoto-u.ac.jp/item/rb00002939?page=98</v>
      </c>
      <c r="E3449" s="22"/>
      <c r="F3449" s="22"/>
      <c r="G3449" s="22"/>
    </row>
    <row r="3450" spans="1:7" x14ac:dyDescent="0.15">
      <c r="A3450" s="41" t="s">
        <v>9307</v>
      </c>
      <c r="B3450" s="25" t="s">
        <v>10199</v>
      </c>
      <c r="C3450" s="19" t="s">
        <v>10200</v>
      </c>
      <c r="D3450" s="42" t="str">
        <f>HYPERLINK("https://rmda.kulib.kyoto-u.ac.jp/item/rb00002939?page=99")</f>
        <v>https://rmda.kulib.kyoto-u.ac.jp/item/rb00002939?page=99</v>
      </c>
      <c r="E3450" s="22"/>
      <c r="F3450" s="22"/>
      <c r="G3450" s="22"/>
    </row>
    <row r="3451" spans="1:7" x14ac:dyDescent="0.15">
      <c r="A3451" s="41" t="s">
        <v>9307</v>
      </c>
      <c r="B3451" s="25" t="s">
        <v>10201</v>
      </c>
      <c r="C3451" s="19" t="s">
        <v>10202</v>
      </c>
      <c r="D3451" s="42" t="str">
        <f>HYPERLINK("https://rmda.kulib.kyoto-u.ac.jp/item/rb00002939?page=100")</f>
        <v>https://rmda.kulib.kyoto-u.ac.jp/item/rb00002939?page=100</v>
      </c>
      <c r="E3451" s="22"/>
      <c r="F3451" s="22"/>
      <c r="G3451" s="22"/>
    </row>
    <row r="3452" spans="1:7" x14ac:dyDescent="0.15">
      <c r="A3452" s="41" t="s">
        <v>9307</v>
      </c>
      <c r="B3452" s="25" t="s">
        <v>10203</v>
      </c>
      <c r="C3452" s="19" t="s">
        <v>10204</v>
      </c>
      <c r="D3452" s="42" t="str">
        <f t="shared" ref="D3452:D3458" si="251">HYPERLINK("https://rmda.kulib.kyoto-u.ac.jp/item/rb00002939?page=101")</f>
        <v>https://rmda.kulib.kyoto-u.ac.jp/item/rb00002939?page=101</v>
      </c>
      <c r="E3452" s="22"/>
      <c r="F3452" s="22"/>
      <c r="G3452" s="22"/>
    </row>
    <row r="3453" spans="1:7" x14ac:dyDescent="0.15">
      <c r="A3453" s="41" t="s">
        <v>9307</v>
      </c>
      <c r="B3453" s="25" t="s">
        <v>10205</v>
      </c>
      <c r="C3453" s="19" t="s">
        <v>10206</v>
      </c>
      <c r="D3453" s="42" t="str">
        <f t="shared" si="251"/>
        <v>https://rmda.kulib.kyoto-u.ac.jp/item/rb00002939?page=101</v>
      </c>
      <c r="E3453" s="22"/>
      <c r="F3453" s="22"/>
      <c r="G3453" s="22"/>
    </row>
    <row r="3454" spans="1:7" x14ac:dyDescent="0.15">
      <c r="A3454" s="41" t="s">
        <v>9307</v>
      </c>
      <c r="B3454" s="25" t="s">
        <v>10207</v>
      </c>
      <c r="C3454" s="19" t="s">
        <v>10208</v>
      </c>
      <c r="D3454" s="42" t="str">
        <f t="shared" si="251"/>
        <v>https://rmda.kulib.kyoto-u.ac.jp/item/rb00002939?page=101</v>
      </c>
      <c r="E3454" s="22"/>
      <c r="F3454" s="22"/>
      <c r="G3454" s="22"/>
    </row>
    <row r="3455" spans="1:7" x14ac:dyDescent="0.15">
      <c r="A3455" s="41" t="s">
        <v>9307</v>
      </c>
      <c r="B3455" s="25" t="s">
        <v>10209</v>
      </c>
      <c r="C3455" s="19" t="s">
        <v>10210</v>
      </c>
      <c r="D3455" s="42" t="str">
        <f t="shared" si="251"/>
        <v>https://rmda.kulib.kyoto-u.ac.jp/item/rb00002939?page=101</v>
      </c>
      <c r="E3455" s="22"/>
      <c r="F3455" s="22"/>
      <c r="G3455" s="22"/>
    </row>
    <row r="3456" spans="1:7" x14ac:dyDescent="0.15">
      <c r="A3456" s="41" t="s">
        <v>9307</v>
      </c>
      <c r="B3456" s="25" t="s">
        <v>10211</v>
      </c>
      <c r="C3456" s="19" t="s">
        <v>10212</v>
      </c>
      <c r="D3456" s="42" t="str">
        <f t="shared" si="251"/>
        <v>https://rmda.kulib.kyoto-u.ac.jp/item/rb00002939?page=101</v>
      </c>
      <c r="E3456" s="22"/>
      <c r="F3456" s="22"/>
      <c r="G3456" s="22"/>
    </row>
    <row r="3457" spans="1:7" x14ac:dyDescent="0.15">
      <c r="A3457" s="41" t="s">
        <v>9307</v>
      </c>
      <c r="B3457" s="25" t="s">
        <v>10213</v>
      </c>
      <c r="C3457" s="19" t="s">
        <v>10214</v>
      </c>
      <c r="D3457" s="42" t="str">
        <f t="shared" si="251"/>
        <v>https://rmda.kulib.kyoto-u.ac.jp/item/rb00002939?page=101</v>
      </c>
      <c r="E3457" s="22"/>
      <c r="F3457" s="22"/>
      <c r="G3457" s="22"/>
    </row>
    <row r="3458" spans="1:7" x14ac:dyDescent="0.15">
      <c r="A3458" s="41" t="s">
        <v>9307</v>
      </c>
      <c r="B3458" s="25" t="s">
        <v>10215</v>
      </c>
      <c r="C3458" s="19" t="s">
        <v>10216</v>
      </c>
      <c r="D3458" s="42" t="str">
        <f t="shared" si="251"/>
        <v>https://rmda.kulib.kyoto-u.ac.jp/item/rb00002939?page=101</v>
      </c>
      <c r="E3458" s="22"/>
      <c r="F3458" s="22"/>
      <c r="G3458" s="22"/>
    </row>
    <row r="3459" spans="1:7" x14ac:dyDescent="0.15">
      <c r="A3459" s="41" t="s">
        <v>9307</v>
      </c>
      <c r="B3459" s="25" t="s">
        <v>10217</v>
      </c>
      <c r="C3459" s="19" t="s">
        <v>10218</v>
      </c>
      <c r="D3459" s="42" t="str">
        <f>HYPERLINK("https://rmda.kulib.kyoto-u.ac.jp/item/rb00002939?page=102")</f>
        <v>https://rmda.kulib.kyoto-u.ac.jp/item/rb00002939?page=102</v>
      </c>
      <c r="E3459" s="22"/>
      <c r="F3459" s="22"/>
      <c r="G3459" s="22"/>
    </row>
    <row r="3460" spans="1:7" x14ac:dyDescent="0.15">
      <c r="A3460" s="41" t="s">
        <v>9307</v>
      </c>
      <c r="B3460" s="25" t="s">
        <v>10219</v>
      </c>
      <c r="C3460" s="19" t="s">
        <v>10220</v>
      </c>
      <c r="D3460" s="42" t="str">
        <f>HYPERLINK("https://rmda.kulib.kyoto-u.ac.jp/item/rb00002939?page=102")</f>
        <v>https://rmda.kulib.kyoto-u.ac.jp/item/rb00002939?page=102</v>
      </c>
      <c r="E3460" s="22"/>
      <c r="F3460" s="22"/>
      <c r="G3460" s="22"/>
    </row>
    <row r="3461" spans="1:7" x14ac:dyDescent="0.15">
      <c r="A3461" s="41" t="s">
        <v>9307</v>
      </c>
      <c r="B3461" s="25" t="s">
        <v>10221</v>
      </c>
      <c r="C3461" s="19" t="s">
        <v>10222</v>
      </c>
      <c r="D3461" s="42" t="str">
        <f>HYPERLINK("https://rmda.kulib.kyoto-u.ac.jp/item/rb00002939?page=102")</f>
        <v>https://rmda.kulib.kyoto-u.ac.jp/item/rb00002939?page=102</v>
      </c>
      <c r="E3461" s="22"/>
      <c r="F3461" s="22"/>
      <c r="G3461" s="22"/>
    </row>
    <row r="3462" spans="1:7" x14ac:dyDescent="0.15">
      <c r="A3462" s="41" t="s">
        <v>9307</v>
      </c>
      <c r="B3462" s="25" t="s">
        <v>10223</v>
      </c>
      <c r="C3462" s="19" t="s">
        <v>10224</v>
      </c>
      <c r="D3462" s="42" t="str">
        <f>HYPERLINK("https://rmda.kulib.kyoto-u.ac.jp/item/rb00002939?page=102")</f>
        <v>https://rmda.kulib.kyoto-u.ac.jp/item/rb00002939?page=102</v>
      </c>
      <c r="E3462" s="22"/>
      <c r="F3462" s="22"/>
      <c r="G3462" s="22"/>
    </row>
    <row r="3463" spans="1:7" x14ac:dyDescent="0.15">
      <c r="A3463" s="41" t="s">
        <v>9307</v>
      </c>
      <c r="B3463" s="25" t="s">
        <v>10225</v>
      </c>
      <c r="C3463" s="19" t="s">
        <v>10226</v>
      </c>
      <c r="D3463" s="42" t="str">
        <f>HYPERLINK("https://rmda.kulib.kyoto-u.ac.jp/item/rb00002939?page=102")</f>
        <v>https://rmda.kulib.kyoto-u.ac.jp/item/rb00002939?page=102</v>
      </c>
      <c r="E3463" s="22"/>
      <c r="F3463" s="22"/>
      <c r="G3463" s="22"/>
    </row>
    <row r="3464" spans="1:7" x14ac:dyDescent="0.15">
      <c r="A3464" s="41" t="s">
        <v>9307</v>
      </c>
      <c r="B3464" s="25" t="s">
        <v>10227</v>
      </c>
      <c r="C3464" s="19" t="s">
        <v>10228</v>
      </c>
      <c r="D3464" s="42" t="str">
        <f>HYPERLINK("https://rmda.kulib.kyoto-u.ac.jp/item/rb00002939?page=103")</f>
        <v>https://rmda.kulib.kyoto-u.ac.jp/item/rb00002939?page=103</v>
      </c>
      <c r="E3464" s="22"/>
      <c r="F3464" s="22"/>
      <c r="G3464" s="22"/>
    </row>
    <row r="3465" spans="1:7" x14ac:dyDescent="0.15">
      <c r="A3465" s="41" t="s">
        <v>9307</v>
      </c>
      <c r="B3465" s="25" t="s">
        <v>10229</v>
      </c>
      <c r="C3465" s="19" t="s">
        <v>10230</v>
      </c>
      <c r="D3465" s="42" t="str">
        <f>HYPERLINK("https://rmda.kulib.kyoto-u.ac.jp/item/rb00002939?page=103")</f>
        <v>https://rmda.kulib.kyoto-u.ac.jp/item/rb00002939?page=103</v>
      </c>
      <c r="E3465" s="22"/>
      <c r="F3465" s="22"/>
      <c r="G3465" s="22"/>
    </row>
    <row r="3466" spans="1:7" x14ac:dyDescent="0.15">
      <c r="A3466" s="41" t="s">
        <v>9307</v>
      </c>
      <c r="B3466" s="25" t="s">
        <v>10231</v>
      </c>
      <c r="C3466" s="19" t="s">
        <v>10232</v>
      </c>
      <c r="D3466" s="42" t="str">
        <f>HYPERLINK("https://rmda.kulib.kyoto-u.ac.jp/item/rb00002939?page=104")</f>
        <v>https://rmda.kulib.kyoto-u.ac.jp/item/rb00002939?page=104</v>
      </c>
      <c r="E3466" s="22"/>
      <c r="F3466" s="22"/>
      <c r="G3466" s="22"/>
    </row>
    <row r="3467" spans="1:7" x14ac:dyDescent="0.15">
      <c r="A3467" s="41" t="s">
        <v>9307</v>
      </c>
      <c r="B3467" s="25" t="s">
        <v>10233</v>
      </c>
      <c r="C3467" s="19" t="s">
        <v>10234</v>
      </c>
      <c r="D3467" s="42" t="str">
        <f>HYPERLINK("https://rmda.kulib.kyoto-u.ac.jp/item/rb00002939?page=104")</f>
        <v>https://rmda.kulib.kyoto-u.ac.jp/item/rb00002939?page=104</v>
      </c>
      <c r="E3467" s="22"/>
      <c r="F3467" s="22"/>
      <c r="G3467" s="22"/>
    </row>
    <row r="3468" spans="1:7" x14ac:dyDescent="0.15">
      <c r="A3468" s="41" t="s">
        <v>9307</v>
      </c>
      <c r="B3468" s="25" t="s">
        <v>10235</v>
      </c>
      <c r="C3468" s="19" t="s">
        <v>10236</v>
      </c>
      <c r="D3468" s="42" t="str">
        <f>HYPERLINK("https://rmda.kulib.kyoto-u.ac.jp/item/rb00002939?page=104")</f>
        <v>https://rmda.kulib.kyoto-u.ac.jp/item/rb00002939?page=104</v>
      </c>
      <c r="E3468" s="22"/>
      <c r="F3468" s="22"/>
      <c r="G3468" s="22"/>
    </row>
    <row r="3469" spans="1:7" x14ac:dyDescent="0.15">
      <c r="A3469" s="41" t="s">
        <v>9307</v>
      </c>
      <c r="B3469" s="25" t="s">
        <v>10237</v>
      </c>
      <c r="C3469" s="19" t="s">
        <v>10238</v>
      </c>
      <c r="D3469" s="42" t="str">
        <f>HYPERLINK("https://rmda.kulib.kyoto-u.ac.jp/item/rb00002939?page=104")</f>
        <v>https://rmda.kulib.kyoto-u.ac.jp/item/rb00002939?page=104</v>
      </c>
      <c r="E3469" s="22"/>
      <c r="F3469" s="22"/>
      <c r="G3469" s="22"/>
    </row>
    <row r="3470" spans="1:7" x14ac:dyDescent="0.15">
      <c r="A3470" s="41" t="s">
        <v>9307</v>
      </c>
      <c r="B3470" s="25" t="s">
        <v>10239</v>
      </c>
      <c r="C3470" s="19" t="s">
        <v>10240</v>
      </c>
      <c r="D3470" s="42" t="str">
        <f>HYPERLINK("https://rmda.kulib.kyoto-u.ac.jp/item/rb00002939?page=104")</f>
        <v>https://rmda.kulib.kyoto-u.ac.jp/item/rb00002939?page=104</v>
      </c>
      <c r="E3470" s="22"/>
      <c r="F3470" s="22"/>
      <c r="G3470" s="22"/>
    </row>
    <row r="3471" spans="1:7" x14ac:dyDescent="0.15">
      <c r="A3471" s="41" t="s">
        <v>9307</v>
      </c>
      <c r="B3471" s="25" t="s">
        <v>10241</v>
      </c>
      <c r="C3471" s="19" t="s">
        <v>10242</v>
      </c>
      <c r="D3471" s="42" t="str">
        <f>HYPERLINK("https://rmda.kulib.kyoto-u.ac.jp/item/rb00002939?page=105")</f>
        <v>https://rmda.kulib.kyoto-u.ac.jp/item/rb00002939?page=105</v>
      </c>
      <c r="E3471" s="22"/>
      <c r="F3471" s="22"/>
      <c r="G3471" s="22"/>
    </row>
    <row r="3472" spans="1:7" x14ac:dyDescent="0.15">
      <c r="A3472" s="41" t="s">
        <v>9307</v>
      </c>
      <c r="B3472" s="25" t="s">
        <v>10243</v>
      </c>
      <c r="C3472" s="19" t="s">
        <v>10244</v>
      </c>
      <c r="D3472" s="42" t="str">
        <f>HYPERLINK("https://rmda.kulib.kyoto-u.ac.jp/item/rb00002939?page=105")</f>
        <v>https://rmda.kulib.kyoto-u.ac.jp/item/rb00002939?page=105</v>
      </c>
      <c r="E3472" s="22"/>
      <c r="F3472" s="22"/>
      <c r="G3472" s="22"/>
    </row>
    <row r="3473" spans="1:7" x14ac:dyDescent="0.15">
      <c r="A3473" s="41" t="s">
        <v>9307</v>
      </c>
      <c r="B3473" s="25" t="s">
        <v>10245</v>
      </c>
      <c r="C3473" s="19" t="s">
        <v>10246</v>
      </c>
      <c r="D3473" s="42" t="str">
        <f>HYPERLINK("https://rmda.kulib.kyoto-u.ac.jp/item/rb00002939?page=105")</f>
        <v>https://rmda.kulib.kyoto-u.ac.jp/item/rb00002939?page=105</v>
      </c>
      <c r="E3473" s="22"/>
      <c r="F3473" s="22"/>
      <c r="G3473" s="22"/>
    </row>
    <row r="3474" spans="1:7" x14ac:dyDescent="0.15">
      <c r="A3474" s="41" t="s">
        <v>9307</v>
      </c>
      <c r="B3474" s="25" t="s">
        <v>10247</v>
      </c>
      <c r="C3474" s="19" t="s">
        <v>10248</v>
      </c>
      <c r="D3474" s="42" t="str">
        <f>HYPERLINK("https://rmda.kulib.kyoto-u.ac.jp/item/rb00002939?page=105")</f>
        <v>https://rmda.kulib.kyoto-u.ac.jp/item/rb00002939?page=105</v>
      </c>
      <c r="E3474" s="22"/>
      <c r="F3474" s="22"/>
      <c r="G3474" s="22"/>
    </row>
    <row r="3475" spans="1:7" x14ac:dyDescent="0.15">
      <c r="A3475" s="41" t="s">
        <v>9307</v>
      </c>
      <c r="B3475" s="25" t="s">
        <v>10249</v>
      </c>
      <c r="C3475" s="19" t="s">
        <v>10250</v>
      </c>
      <c r="D3475" s="42" t="str">
        <f>HYPERLINK("https://rmda.kulib.kyoto-u.ac.jp/item/rb00002939?page=105")</f>
        <v>https://rmda.kulib.kyoto-u.ac.jp/item/rb00002939?page=105</v>
      </c>
      <c r="E3475" s="22"/>
      <c r="F3475" s="22"/>
      <c r="G3475" s="22"/>
    </row>
    <row r="3476" spans="1:7" x14ac:dyDescent="0.15">
      <c r="A3476" s="41" t="s">
        <v>9307</v>
      </c>
      <c r="B3476" s="25" t="s">
        <v>10251</v>
      </c>
      <c r="C3476" s="19" t="s">
        <v>10252</v>
      </c>
      <c r="D3476" s="42" t="str">
        <f>HYPERLINK("https://rmda.kulib.kyoto-u.ac.jp/item/rb00002939?page=106")</f>
        <v>https://rmda.kulib.kyoto-u.ac.jp/item/rb00002939?page=106</v>
      </c>
      <c r="E3476" s="22"/>
      <c r="F3476" s="22"/>
      <c r="G3476" s="22"/>
    </row>
    <row r="3477" spans="1:7" x14ac:dyDescent="0.15">
      <c r="A3477" s="41" t="s">
        <v>9307</v>
      </c>
      <c r="B3477" s="25" t="s">
        <v>10253</v>
      </c>
      <c r="C3477" s="19" t="s">
        <v>10254</v>
      </c>
      <c r="D3477" s="42" t="str">
        <f>HYPERLINK("https://rmda.kulib.kyoto-u.ac.jp/item/rb00002939?page=106")</f>
        <v>https://rmda.kulib.kyoto-u.ac.jp/item/rb00002939?page=106</v>
      </c>
      <c r="E3477" s="22"/>
      <c r="F3477" s="22"/>
      <c r="G3477" s="22"/>
    </row>
    <row r="3478" spans="1:7" x14ac:dyDescent="0.15">
      <c r="A3478" s="41" t="s">
        <v>9307</v>
      </c>
      <c r="B3478" s="25" t="s">
        <v>10255</v>
      </c>
      <c r="C3478" s="19" t="s">
        <v>10256</v>
      </c>
      <c r="D3478" s="42" t="str">
        <f>HYPERLINK("https://rmda.kulib.kyoto-u.ac.jp/item/rb00002939?page=106")</f>
        <v>https://rmda.kulib.kyoto-u.ac.jp/item/rb00002939?page=106</v>
      </c>
      <c r="E3478" s="22"/>
      <c r="F3478" s="22"/>
      <c r="G3478" s="22"/>
    </row>
    <row r="3479" spans="1:7" x14ac:dyDescent="0.15">
      <c r="A3479" s="41" t="s">
        <v>9307</v>
      </c>
      <c r="B3479" s="25" t="s">
        <v>10257</v>
      </c>
      <c r="C3479" s="19" t="s">
        <v>10258</v>
      </c>
      <c r="D3479" s="42" t="str">
        <f>HYPERLINK("https://rmda.kulib.kyoto-u.ac.jp/item/rb00002939?page=106")</f>
        <v>https://rmda.kulib.kyoto-u.ac.jp/item/rb00002939?page=106</v>
      </c>
      <c r="E3479" s="22"/>
      <c r="F3479" s="22"/>
      <c r="G3479" s="22"/>
    </row>
    <row r="3480" spans="1:7" x14ac:dyDescent="0.15">
      <c r="A3480" s="41" t="s">
        <v>9307</v>
      </c>
      <c r="B3480" s="25" t="s">
        <v>10259</v>
      </c>
      <c r="C3480" s="19" t="s">
        <v>10260</v>
      </c>
      <c r="D3480" s="42" t="str">
        <f>HYPERLINK("https://rmda.kulib.kyoto-u.ac.jp/item/rb00002939?page=107")</f>
        <v>https://rmda.kulib.kyoto-u.ac.jp/item/rb00002939?page=107</v>
      </c>
      <c r="E3480" s="22"/>
      <c r="F3480" s="22"/>
      <c r="G3480" s="22"/>
    </row>
    <row r="3481" spans="1:7" x14ac:dyDescent="0.15">
      <c r="A3481" s="41" t="s">
        <v>9307</v>
      </c>
      <c r="B3481" s="25" t="s">
        <v>10261</v>
      </c>
      <c r="C3481" s="19" t="s">
        <v>10262</v>
      </c>
      <c r="D3481" s="42" t="str">
        <f>HYPERLINK("https://rmda.kulib.kyoto-u.ac.jp/item/rb00002939?page=107")</f>
        <v>https://rmda.kulib.kyoto-u.ac.jp/item/rb00002939?page=107</v>
      </c>
      <c r="E3481" s="22"/>
      <c r="F3481" s="22"/>
      <c r="G3481" s="22"/>
    </row>
    <row r="3482" spans="1:7" x14ac:dyDescent="0.15">
      <c r="A3482" s="41" t="s">
        <v>9307</v>
      </c>
      <c r="B3482" s="25" t="s">
        <v>10263</v>
      </c>
      <c r="C3482" s="19" t="s">
        <v>10264</v>
      </c>
      <c r="D3482" s="42" t="str">
        <f>HYPERLINK("https://rmda.kulib.kyoto-u.ac.jp/item/rb00002939?page=108")</f>
        <v>https://rmda.kulib.kyoto-u.ac.jp/item/rb00002939?page=108</v>
      </c>
      <c r="E3482" s="22"/>
      <c r="F3482" s="22"/>
      <c r="G3482" s="22"/>
    </row>
    <row r="3483" spans="1:7" x14ac:dyDescent="0.15">
      <c r="A3483" s="41" t="s">
        <v>9307</v>
      </c>
      <c r="B3483" s="25" t="s">
        <v>10265</v>
      </c>
      <c r="C3483" s="19" t="s">
        <v>10266</v>
      </c>
      <c r="D3483" s="42" t="str">
        <f>HYPERLINK("https://rmda.kulib.kyoto-u.ac.jp/item/rb00002939?page=108")</f>
        <v>https://rmda.kulib.kyoto-u.ac.jp/item/rb00002939?page=108</v>
      </c>
      <c r="E3483" s="22"/>
      <c r="F3483" s="22"/>
      <c r="G3483" s="22"/>
    </row>
    <row r="3484" spans="1:7" x14ac:dyDescent="0.15">
      <c r="A3484" s="41" t="s">
        <v>9307</v>
      </c>
      <c r="B3484" s="25" t="s">
        <v>10267</v>
      </c>
      <c r="C3484" s="19" t="s">
        <v>10268</v>
      </c>
      <c r="D3484" s="42" t="str">
        <f>HYPERLINK("https://rmda.kulib.kyoto-u.ac.jp/item/rb00002939?page=108")</f>
        <v>https://rmda.kulib.kyoto-u.ac.jp/item/rb00002939?page=108</v>
      </c>
      <c r="E3484" s="22"/>
      <c r="F3484" s="22"/>
      <c r="G3484" s="22"/>
    </row>
    <row r="3485" spans="1:7" x14ac:dyDescent="0.15">
      <c r="A3485" s="41" t="s">
        <v>9307</v>
      </c>
      <c r="B3485" s="25" t="s">
        <v>10269</v>
      </c>
      <c r="C3485" s="19" t="s">
        <v>10270</v>
      </c>
      <c r="D3485" s="42" t="str">
        <f>HYPERLINK("https://rmda.kulib.kyoto-u.ac.jp/item/rb00002939?page=108")</f>
        <v>https://rmda.kulib.kyoto-u.ac.jp/item/rb00002939?page=108</v>
      </c>
      <c r="E3485" s="22"/>
      <c r="F3485" s="22"/>
      <c r="G3485" s="22"/>
    </row>
    <row r="3486" spans="1:7" x14ac:dyDescent="0.15">
      <c r="A3486" s="41" t="s">
        <v>9307</v>
      </c>
      <c r="B3486" s="25" t="s">
        <v>10271</v>
      </c>
      <c r="C3486" s="19" t="s">
        <v>10272</v>
      </c>
      <c r="D3486" s="42" t="str">
        <f>HYPERLINK("https://rmda.kulib.kyoto-u.ac.jp/item/rb00002939?page=109")</f>
        <v>https://rmda.kulib.kyoto-u.ac.jp/item/rb00002939?page=109</v>
      </c>
      <c r="E3486" s="22"/>
      <c r="F3486" s="22"/>
      <c r="G3486" s="22"/>
    </row>
    <row r="3487" spans="1:7" x14ac:dyDescent="0.15">
      <c r="A3487" s="41" t="s">
        <v>9307</v>
      </c>
      <c r="B3487" s="25" t="s">
        <v>10273</v>
      </c>
      <c r="C3487" s="19" t="s">
        <v>10274</v>
      </c>
      <c r="D3487" s="42" t="str">
        <f>HYPERLINK("https://rmda.kulib.kyoto-u.ac.jp/item/rb00002939?page=110")</f>
        <v>https://rmda.kulib.kyoto-u.ac.jp/item/rb00002939?page=110</v>
      </c>
      <c r="E3487" s="22"/>
      <c r="F3487" s="22"/>
      <c r="G3487" s="22"/>
    </row>
    <row r="3488" spans="1:7" x14ac:dyDescent="0.15">
      <c r="A3488" s="41" t="s">
        <v>9307</v>
      </c>
      <c r="B3488" s="25" t="s">
        <v>10275</v>
      </c>
      <c r="C3488" s="19" t="s">
        <v>10276</v>
      </c>
      <c r="D3488" s="42" t="str">
        <f>HYPERLINK("https://rmda.kulib.kyoto-u.ac.jp/item/rb00002939?page=111")</f>
        <v>https://rmda.kulib.kyoto-u.ac.jp/item/rb00002939?page=111</v>
      </c>
      <c r="E3488" s="22"/>
      <c r="F3488" s="22"/>
      <c r="G3488" s="22"/>
    </row>
    <row r="3489" spans="1:7" x14ac:dyDescent="0.15">
      <c r="A3489" s="41" t="s">
        <v>9307</v>
      </c>
      <c r="B3489" s="25" t="s">
        <v>10277</v>
      </c>
      <c r="C3489" s="19" t="s">
        <v>10278</v>
      </c>
      <c r="D3489" s="42" t="str">
        <f>HYPERLINK("https://rmda.kulib.kyoto-u.ac.jp/item/rb00002939?page=112")</f>
        <v>https://rmda.kulib.kyoto-u.ac.jp/item/rb00002939?page=112</v>
      </c>
      <c r="E3489" s="22"/>
      <c r="F3489" s="22"/>
      <c r="G3489" s="22"/>
    </row>
    <row r="3490" spans="1:7" x14ac:dyDescent="0.15">
      <c r="A3490" s="41" t="s">
        <v>9307</v>
      </c>
      <c r="B3490" s="25" t="s">
        <v>10279</v>
      </c>
      <c r="C3490" s="19" t="s">
        <v>10280</v>
      </c>
      <c r="D3490" s="42" t="str">
        <f>HYPERLINK("https://rmda.kulib.kyoto-u.ac.jp/item/rb00002939?page=113")</f>
        <v>https://rmda.kulib.kyoto-u.ac.jp/item/rb00002939?page=113</v>
      </c>
      <c r="E3490" s="22"/>
      <c r="F3490" s="22"/>
      <c r="G3490" s="22"/>
    </row>
    <row r="3491" spans="1:7" x14ac:dyDescent="0.15">
      <c r="A3491" s="41" t="s">
        <v>9307</v>
      </c>
      <c r="B3491" s="25" t="s">
        <v>10281</v>
      </c>
      <c r="C3491" s="19" t="s">
        <v>10282</v>
      </c>
      <c r="D3491" s="42" t="str">
        <f>HYPERLINK("https://rmda.kulib.kyoto-u.ac.jp/item/rb00002939?page=115")</f>
        <v>https://rmda.kulib.kyoto-u.ac.jp/item/rb00002939?page=115</v>
      </c>
      <c r="E3491" s="22"/>
      <c r="F3491" s="22"/>
      <c r="G3491" s="22"/>
    </row>
    <row r="3492" spans="1:7" x14ac:dyDescent="0.15">
      <c r="A3492" s="41" t="s">
        <v>9307</v>
      </c>
      <c r="B3492" s="25" t="s">
        <v>10283</v>
      </c>
      <c r="C3492" s="19" t="s">
        <v>10284</v>
      </c>
      <c r="D3492" s="42" t="str">
        <f>HYPERLINK("https://rmda.kulib.kyoto-u.ac.jp/item/rb00002939?page=115")</f>
        <v>https://rmda.kulib.kyoto-u.ac.jp/item/rb00002939?page=115</v>
      </c>
      <c r="E3492" s="22"/>
      <c r="F3492" s="22"/>
      <c r="G3492" s="22"/>
    </row>
    <row r="3493" spans="1:7" x14ac:dyDescent="0.15">
      <c r="A3493" s="41" t="s">
        <v>9307</v>
      </c>
      <c r="B3493" s="25" t="s">
        <v>10285</v>
      </c>
      <c r="C3493" s="19" t="s">
        <v>10286</v>
      </c>
      <c r="D3493" s="42" t="str">
        <f>HYPERLINK("https://rmda.kulib.kyoto-u.ac.jp/item/rb00002939?page=115")</f>
        <v>https://rmda.kulib.kyoto-u.ac.jp/item/rb00002939?page=115</v>
      </c>
      <c r="E3493" s="22"/>
      <c r="F3493" s="22"/>
      <c r="G3493" s="22"/>
    </row>
    <row r="3494" spans="1:7" x14ac:dyDescent="0.15">
      <c r="A3494" s="41" t="s">
        <v>9307</v>
      </c>
      <c r="B3494" s="25" t="s">
        <v>10287</v>
      </c>
      <c r="C3494" s="19" t="s">
        <v>10288</v>
      </c>
      <c r="D3494" s="42" t="str">
        <f>HYPERLINK("https://rmda.kulib.kyoto-u.ac.jp/item/rb00002939?page=115")</f>
        <v>https://rmda.kulib.kyoto-u.ac.jp/item/rb00002939?page=115</v>
      </c>
      <c r="E3494" s="22"/>
      <c r="F3494" s="22"/>
      <c r="G3494" s="22"/>
    </row>
    <row r="3495" spans="1:7" x14ac:dyDescent="0.15">
      <c r="A3495" s="41" t="s">
        <v>9307</v>
      </c>
      <c r="B3495" s="25" t="s">
        <v>10289</v>
      </c>
      <c r="C3495" s="19" t="s">
        <v>10290</v>
      </c>
      <c r="D3495" s="42" t="str">
        <f>HYPERLINK("https://rmda.kulib.kyoto-u.ac.jp/item/rb00002939?page=116")</f>
        <v>https://rmda.kulib.kyoto-u.ac.jp/item/rb00002939?page=116</v>
      </c>
      <c r="E3495" s="22"/>
      <c r="F3495" s="22"/>
      <c r="G3495" s="22"/>
    </row>
    <row r="3496" spans="1:7" x14ac:dyDescent="0.15">
      <c r="A3496" s="41" t="s">
        <v>9307</v>
      </c>
      <c r="B3496" s="25" t="s">
        <v>10291</v>
      </c>
      <c r="C3496" s="19" t="s">
        <v>10292</v>
      </c>
      <c r="D3496" s="42" t="str">
        <f>HYPERLINK("https://rmda.kulib.kyoto-u.ac.jp/item/rb00002939?page=116")</f>
        <v>https://rmda.kulib.kyoto-u.ac.jp/item/rb00002939?page=116</v>
      </c>
      <c r="E3496" s="22"/>
      <c r="F3496" s="22"/>
      <c r="G3496" s="22"/>
    </row>
    <row r="3497" spans="1:7" x14ac:dyDescent="0.15">
      <c r="A3497" s="41" t="s">
        <v>9307</v>
      </c>
      <c r="B3497" s="25" t="s">
        <v>10293</v>
      </c>
      <c r="C3497" s="19" t="s">
        <v>10294</v>
      </c>
      <c r="D3497" s="42" t="str">
        <f>HYPERLINK("https://rmda.kulib.kyoto-u.ac.jp/item/rb00002939?page=117")</f>
        <v>https://rmda.kulib.kyoto-u.ac.jp/item/rb00002939?page=117</v>
      </c>
      <c r="E3497" s="22"/>
      <c r="F3497" s="22"/>
      <c r="G3497" s="22"/>
    </row>
    <row r="3498" spans="1:7" x14ac:dyDescent="0.15">
      <c r="A3498" s="41" t="s">
        <v>9307</v>
      </c>
      <c r="B3498" s="25" t="s">
        <v>10295</v>
      </c>
      <c r="C3498" s="19" t="s">
        <v>10296</v>
      </c>
      <c r="D3498" s="42" t="str">
        <f>HYPERLINK("https://rmda.kulib.kyoto-u.ac.jp/item/rb00002939?page=117")</f>
        <v>https://rmda.kulib.kyoto-u.ac.jp/item/rb00002939?page=117</v>
      </c>
      <c r="E3498" s="22"/>
      <c r="F3498" s="22"/>
      <c r="G3498" s="22"/>
    </row>
    <row r="3499" spans="1:7" x14ac:dyDescent="0.15">
      <c r="A3499" s="41" t="s">
        <v>9307</v>
      </c>
      <c r="B3499" s="25" t="s">
        <v>6769</v>
      </c>
      <c r="C3499" s="19"/>
      <c r="D3499" s="42" t="str">
        <f>HYPERLINK("https://rmda.kulib.kyoto-u.ac.jp/item/rb00002938?page=129")</f>
        <v>https://rmda.kulib.kyoto-u.ac.jp/item/rb00002938?page=129</v>
      </c>
      <c r="E3499" s="22"/>
      <c r="F3499" s="22"/>
      <c r="G3499" s="22"/>
    </row>
    <row r="3500" spans="1:7" x14ac:dyDescent="0.15">
      <c r="A3500" s="41" t="s">
        <v>9307</v>
      </c>
      <c r="B3500" s="25" t="s">
        <v>10297</v>
      </c>
      <c r="C3500" s="19" t="s">
        <v>10298</v>
      </c>
      <c r="D3500" s="42" t="str">
        <f>HYPERLINK("https://rmda.kulib.kyoto-u.ac.jp/item/rb00002938?page=136")</f>
        <v>https://rmda.kulib.kyoto-u.ac.jp/item/rb00002938?page=136</v>
      </c>
      <c r="E3500" s="22"/>
      <c r="F3500" s="22"/>
      <c r="G3500" s="22"/>
    </row>
    <row r="3501" spans="1:7" x14ac:dyDescent="0.15">
      <c r="A3501" s="41" t="s">
        <v>9307</v>
      </c>
      <c r="B3501" s="25" t="s">
        <v>10299</v>
      </c>
      <c r="C3501" s="19" t="s">
        <v>10300</v>
      </c>
      <c r="D3501" s="42" t="str">
        <f>HYPERLINK("https://rmda.kulib.kyoto-u.ac.jp/item/rb00002938?page=137")</f>
        <v>https://rmda.kulib.kyoto-u.ac.jp/item/rb00002938?page=137</v>
      </c>
      <c r="E3501" s="22"/>
      <c r="F3501" s="22"/>
      <c r="G3501" s="22"/>
    </row>
    <row r="3502" spans="1:7" x14ac:dyDescent="0.15">
      <c r="A3502" s="41" t="s">
        <v>9307</v>
      </c>
      <c r="B3502" s="25" t="s">
        <v>10301</v>
      </c>
      <c r="C3502" s="19" t="s">
        <v>10302</v>
      </c>
      <c r="D3502" s="42" t="str">
        <f>HYPERLINK("https://rmda.kulib.kyoto-u.ac.jp/item/rb00002938?page=137")</f>
        <v>https://rmda.kulib.kyoto-u.ac.jp/item/rb00002938?page=137</v>
      </c>
      <c r="E3502" s="22"/>
      <c r="F3502" s="22"/>
      <c r="G3502" s="22"/>
    </row>
    <row r="3503" spans="1:7" x14ac:dyDescent="0.15">
      <c r="A3503" s="41" t="s">
        <v>9307</v>
      </c>
      <c r="B3503" s="25" t="s">
        <v>10303</v>
      </c>
      <c r="C3503" s="19" t="s">
        <v>10304</v>
      </c>
      <c r="D3503" s="42" t="str">
        <f>HYPERLINK("https://rmda.kulib.kyoto-u.ac.jp/item/rb00002938?page=137")</f>
        <v>https://rmda.kulib.kyoto-u.ac.jp/item/rb00002938?page=137</v>
      </c>
      <c r="E3503" s="22"/>
      <c r="F3503" s="22"/>
      <c r="G3503" s="22"/>
    </row>
    <row r="3504" spans="1:7" x14ac:dyDescent="0.15">
      <c r="A3504" s="41" t="s">
        <v>9307</v>
      </c>
      <c r="B3504" s="25" t="s">
        <v>10305</v>
      </c>
      <c r="C3504" s="19" t="s">
        <v>10306</v>
      </c>
      <c r="D3504" s="42" t="str">
        <f>HYPERLINK("https://rmda.kulib.kyoto-u.ac.jp/item/rb00002938?page=137")</f>
        <v>https://rmda.kulib.kyoto-u.ac.jp/item/rb00002938?page=137</v>
      </c>
      <c r="E3504" s="22"/>
      <c r="F3504" s="22"/>
      <c r="G3504" s="22"/>
    </row>
    <row r="3505" spans="1:7" x14ac:dyDescent="0.15">
      <c r="A3505" s="41" t="s">
        <v>9307</v>
      </c>
      <c r="B3505" s="25" t="s">
        <v>10307</v>
      </c>
      <c r="C3505" s="19" t="s">
        <v>10308</v>
      </c>
      <c r="D3505" s="42" t="str">
        <f>HYPERLINK("https://rmda.kulib.kyoto-u.ac.jp/item/rb00002938?page=138")</f>
        <v>https://rmda.kulib.kyoto-u.ac.jp/item/rb00002938?page=138</v>
      </c>
      <c r="E3505" s="22"/>
      <c r="F3505" s="22"/>
      <c r="G3505" s="22"/>
    </row>
    <row r="3506" spans="1:7" x14ac:dyDescent="0.15">
      <c r="A3506" s="41" t="s">
        <v>9307</v>
      </c>
      <c r="B3506" s="25" t="s">
        <v>10309</v>
      </c>
      <c r="C3506" s="19" t="s">
        <v>10310</v>
      </c>
      <c r="D3506" s="42" t="str">
        <f>HYPERLINK("https://rmda.kulib.kyoto-u.ac.jp/item/rb00002938?page=138")</f>
        <v>https://rmda.kulib.kyoto-u.ac.jp/item/rb00002938?page=138</v>
      </c>
      <c r="E3506" s="22"/>
      <c r="F3506" s="22"/>
      <c r="G3506" s="22"/>
    </row>
    <row r="3507" spans="1:7" x14ac:dyDescent="0.15">
      <c r="A3507" s="41" t="s">
        <v>9307</v>
      </c>
      <c r="B3507" s="25" t="s">
        <v>10311</v>
      </c>
      <c r="C3507" s="19" t="s">
        <v>10312</v>
      </c>
      <c r="D3507" s="42" t="str">
        <f>HYPERLINK("https://rmda.kulib.kyoto-u.ac.jp/item/rb00002938?page=139")</f>
        <v>https://rmda.kulib.kyoto-u.ac.jp/item/rb00002938?page=139</v>
      </c>
      <c r="E3507" s="22"/>
      <c r="F3507" s="22"/>
      <c r="G3507" s="22"/>
    </row>
    <row r="3508" spans="1:7" x14ac:dyDescent="0.15">
      <c r="A3508" s="41" t="s">
        <v>9307</v>
      </c>
      <c r="B3508" s="25" t="s">
        <v>10313</v>
      </c>
      <c r="C3508" s="19" t="s">
        <v>10312</v>
      </c>
      <c r="D3508" s="42" t="str">
        <f>HYPERLINK("https://rmda.kulib.kyoto-u.ac.jp/item/rb00002938?page=140")</f>
        <v>https://rmda.kulib.kyoto-u.ac.jp/item/rb00002938?page=140</v>
      </c>
      <c r="E3508" s="22"/>
      <c r="F3508" s="22"/>
      <c r="G3508" s="22"/>
    </row>
    <row r="3509" spans="1:7" x14ac:dyDescent="0.15">
      <c r="A3509" s="41" t="s">
        <v>9307</v>
      </c>
      <c r="B3509" s="25" t="s">
        <v>10314</v>
      </c>
      <c r="C3509" s="19" t="s">
        <v>10315</v>
      </c>
      <c r="D3509" s="42" t="str">
        <f>HYPERLINK("https://rmda.kulib.kyoto-u.ac.jp/item/rb00002938?page=140")</f>
        <v>https://rmda.kulib.kyoto-u.ac.jp/item/rb00002938?page=140</v>
      </c>
      <c r="E3509" s="22"/>
      <c r="F3509" s="22"/>
      <c r="G3509" s="22"/>
    </row>
    <row r="3510" spans="1:7" x14ac:dyDescent="0.15">
      <c r="A3510" s="41" t="s">
        <v>9307</v>
      </c>
      <c r="B3510" s="25" t="s">
        <v>10316</v>
      </c>
      <c r="C3510" s="19" t="s">
        <v>10317</v>
      </c>
      <c r="D3510" s="42" t="str">
        <f>HYPERLINK("https://rmda.kulib.kyoto-u.ac.jp/item/rb00002938?page=141")</f>
        <v>https://rmda.kulib.kyoto-u.ac.jp/item/rb00002938?page=141</v>
      </c>
      <c r="E3510" s="22"/>
      <c r="F3510" s="22"/>
      <c r="G3510" s="22"/>
    </row>
    <row r="3511" spans="1:7" x14ac:dyDescent="0.15">
      <c r="A3511" s="41" t="s">
        <v>9307</v>
      </c>
      <c r="B3511" s="25" t="s">
        <v>10318</v>
      </c>
      <c r="C3511" s="19" t="s">
        <v>10319</v>
      </c>
      <c r="D3511" s="42" t="str">
        <f>HYPERLINK("https://rmda.kulib.kyoto-u.ac.jp/item/rb00002938?page=141")</f>
        <v>https://rmda.kulib.kyoto-u.ac.jp/item/rb00002938?page=141</v>
      </c>
      <c r="E3511" s="22"/>
      <c r="F3511" s="22"/>
      <c r="G3511" s="22"/>
    </row>
    <row r="3512" spans="1:7" x14ac:dyDescent="0.15">
      <c r="A3512" s="41" t="s">
        <v>9307</v>
      </c>
      <c r="B3512" s="25" t="s">
        <v>10320</v>
      </c>
      <c r="C3512" s="19" t="s">
        <v>10321</v>
      </c>
      <c r="D3512" s="42" t="str">
        <f>HYPERLINK("https://rmda.kulib.kyoto-u.ac.jp/item/rb00002938?page=141")</f>
        <v>https://rmda.kulib.kyoto-u.ac.jp/item/rb00002938?page=141</v>
      </c>
      <c r="E3512" s="22"/>
      <c r="F3512" s="22"/>
      <c r="G3512" s="22"/>
    </row>
    <row r="3513" spans="1:7" x14ac:dyDescent="0.15">
      <c r="A3513" s="41" t="s">
        <v>9307</v>
      </c>
      <c r="B3513" s="25" t="s">
        <v>10322</v>
      </c>
      <c r="C3513" s="19" t="s">
        <v>10323</v>
      </c>
      <c r="D3513" s="42" t="str">
        <f>HYPERLINK("https://rmda.kulib.kyoto-u.ac.jp/item/rb00002938?page=142")</f>
        <v>https://rmda.kulib.kyoto-u.ac.jp/item/rb00002938?page=142</v>
      </c>
      <c r="E3513" s="22"/>
      <c r="F3513" s="22"/>
      <c r="G3513" s="22"/>
    </row>
    <row r="3514" spans="1:7" x14ac:dyDescent="0.15">
      <c r="A3514" s="41" t="s">
        <v>9307</v>
      </c>
      <c r="B3514" s="25" t="s">
        <v>10324</v>
      </c>
      <c r="C3514" s="19" t="s">
        <v>10325</v>
      </c>
      <c r="D3514" s="42" t="str">
        <f>HYPERLINK("https://rmda.kulib.kyoto-u.ac.jp/item/rb00002938?page=142")</f>
        <v>https://rmda.kulib.kyoto-u.ac.jp/item/rb00002938?page=142</v>
      </c>
      <c r="E3514" s="22"/>
      <c r="F3514" s="22"/>
      <c r="G3514" s="22"/>
    </row>
    <row r="3515" spans="1:7" ht="27" x14ac:dyDescent="0.15">
      <c r="A3515" s="41" t="s">
        <v>9307</v>
      </c>
      <c r="B3515" s="25" t="s">
        <v>10326</v>
      </c>
      <c r="C3515" s="19" t="s">
        <v>10327</v>
      </c>
      <c r="D3515" s="42" t="str">
        <f>HYPERLINK("https://rmda.kulib.kyoto-u.ac.jp/item/rb00002938?page=142")</f>
        <v>https://rmda.kulib.kyoto-u.ac.jp/item/rb00002938?page=142</v>
      </c>
      <c r="E3515" s="22"/>
      <c r="F3515" s="22"/>
      <c r="G3515" s="22"/>
    </row>
    <row r="3516" spans="1:7" x14ac:dyDescent="0.15">
      <c r="A3516" s="41" t="s">
        <v>9307</v>
      </c>
      <c r="B3516" s="25" t="s">
        <v>10328</v>
      </c>
      <c r="C3516" s="19" t="s">
        <v>10329</v>
      </c>
      <c r="D3516" s="42" t="str">
        <f>HYPERLINK("https://rmda.kulib.kyoto-u.ac.jp/item/rb00002938?page=143")</f>
        <v>https://rmda.kulib.kyoto-u.ac.jp/item/rb00002938?page=143</v>
      </c>
      <c r="E3516" s="22"/>
      <c r="F3516" s="22"/>
      <c r="G3516" s="22"/>
    </row>
    <row r="3517" spans="1:7" x14ac:dyDescent="0.15">
      <c r="A3517" s="41" t="s">
        <v>9307</v>
      </c>
      <c r="B3517" s="25" t="s">
        <v>10330</v>
      </c>
      <c r="C3517" s="19" t="s">
        <v>10331</v>
      </c>
      <c r="D3517" s="42" t="str">
        <f>HYPERLINK("https://rmda.kulib.kyoto-u.ac.jp/item/rb00002938?page=144")</f>
        <v>https://rmda.kulib.kyoto-u.ac.jp/item/rb00002938?page=144</v>
      </c>
      <c r="E3517" s="22"/>
      <c r="F3517" s="22"/>
      <c r="G3517" s="22"/>
    </row>
    <row r="3518" spans="1:7" x14ac:dyDescent="0.15">
      <c r="A3518" s="41" t="s">
        <v>9307</v>
      </c>
      <c r="B3518" s="25" t="s">
        <v>10332</v>
      </c>
      <c r="C3518" s="19" t="s">
        <v>10333</v>
      </c>
      <c r="D3518" s="42" t="str">
        <f>HYPERLINK("https://rmda.kulib.kyoto-u.ac.jp/item/rb00002938?page=145")</f>
        <v>https://rmda.kulib.kyoto-u.ac.jp/item/rb00002938?page=145</v>
      </c>
      <c r="E3518" s="22"/>
      <c r="F3518" s="22"/>
      <c r="G3518" s="22"/>
    </row>
    <row r="3519" spans="1:7" x14ac:dyDescent="0.15">
      <c r="A3519" s="41" t="s">
        <v>9307</v>
      </c>
      <c r="B3519" s="25" t="s">
        <v>10334</v>
      </c>
      <c r="C3519" s="19" t="s">
        <v>10335</v>
      </c>
      <c r="D3519" s="42" t="str">
        <f>HYPERLINK("https://rmda.kulib.kyoto-u.ac.jp/item/rb00002938?page=145")</f>
        <v>https://rmda.kulib.kyoto-u.ac.jp/item/rb00002938?page=145</v>
      </c>
      <c r="E3519" s="22"/>
      <c r="F3519" s="22"/>
      <c r="G3519" s="22"/>
    </row>
    <row r="3520" spans="1:7" x14ac:dyDescent="0.15">
      <c r="A3520" s="41" t="s">
        <v>9307</v>
      </c>
      <c r="B3520" s="25" t="s">
        <v>10336</v>
      </c>
      <c r="C3520" s="19" t="s">
        <v>10337</v>
      </c>
      <c r="D3520" s="42" t="str">
        <f>HYPERLINK("https://rmda.kulib.kyoto-u.ac.jp/item/rb00002938?page=145")</f>
        <v>https://rmda.kulib.kyoto-u.ac.jp/item/rb00002938?page=145</v>
      </c>
      <c r="E3520" s="22"/>
      <c r="F3520" s="22"/>
      <c r="G3520" s="22"/>
    </row>
    <row r="3521" spans="1:7" x14ac:dyDescent="0.15">
      <c r="A3521" s="41" t="s">
        <v>9307</v>
      </c>
      <c r="B3521" s="25" t="s">
        <v>10338</v>
      </c>
      <c r="C3521" s="19" t="s">
        <v>10339</v>
      </c>
      <c r="D3521" s="42" t="str">
        <f>HYPERLINK("https://rmda.kulib.kyoto-u.ac.jp/item/rb00002938?page=145")</f>
        <v>https://rmda.kulib.kyoto-u.ac.jp/item/rb00002938?page=145</v>
      </c>
      <c r="E3521" s="22"/>
      <c r="F3521" s="22"/>
      <c r="G3521" s="22"/>
    </row>
    <row r="3522" spans="1:7" x14ac:dyDescent="0.15">
      <c r="A3522" s="41" t="s">
        <v>9307</v>
      </c>
      <c r="B3522" s="25" t="s">
        <v>10340</v>
      </c>
      <c r="C3522" s="19" t="s">
        <v>10341</v>
      </c>
      <c r="D3522" s="42" t="str">
        <f>HYPERLINK("https://rmda.kulib.kyoto-u.ac.jp/item/rb00002938?page=145")</f>
        <v>https://rmda.kulib.kyoto-u.ac.jp/item/rb00002938?page=145</v>
      </c>
      <c r="E3522" s="22"/>
      <c r="F3522" s="22"/>
      <c r="G3522" s="22"/>
    </row>
    <row r="3523" spans="1:7" x14ac:dyDescent="0.15">
      <c r="A3523" s="41" t="s">
        <v>9307</v>
      </c>
      <c r="B3523" s="25" t="s">
        <v>10342</v>
      </c>
      <c r="C3523" s="19" t="s">
        <v>10343</v>
      </c>
      <c r="D3523" s="42" t="str">
        <f>HYPERLINK("https://rmda.kulib.kyoto-u.ac.jp/item/rb00002938?page=146")</f>
        <v>https://rmda.kulib.kyoto-u.ac.jp/item/rb00002938?page=146</v>
      </c>
      <c r="E3523" s="22"/>
      <c r="F3523" s="22"/>
      <c r="G3523" s="22"/>
    </row>
    <row r="3524" spans="1:7" x14ac:dyDescent="0.15">
      <c r="A3524" s="41" t="s">
        <v>9307</v>
      </c>
      <c r="B3524" s="25" t="s">
        <v>10344</v>
      </c>
      <c r="C3524" s="19" t="s">
        <v>10345</v>
      </c>
      <c r="D3524" s="42" t="str">
        <f>HYPERLINK("https://rmda.kulib.kyoto-u.ac.jp/item/rb00002938?page=146")</f>
        <v>https://rmda.kulib.kyoto-u.ac.jp/item/rb00002938?page=146</v>
      </c>
      <c r="E3524" s="22"/>
      <c r="F3524" s="22"/>
      <c r="G3524" s="22"/>
    </row>
    <row r="3525" spans="1:7" x14ac:dyDescent="0.15">
      <c r="A3525" s="41" t="s">
        <v>9307</v>
      </c>
      <c r="B3525" s="25" t="s">
        <v>10346</v>
      </c>
      <c r="C3525" s="19" t="s">
        <v>10347</v>
      </c>
      <c r="D3525" s="42" t="str">
        <f>HYPERLINK("https://rmda.kulib.kyoto-u.ac.jp/item/rb00002938?page=146")</f>
        <v>https://rmda.kulib.kyoto-u.ac.jp/item/rb00002938?page=146</v>
      </c>
      <c r="E3525" s="22"/>
      <c r="F3525" s="22"/>
      <c r="G3525" s="22"/>
    </row>
    <row r="3526" spans="1:7" x14ac:dyDescent="0.15">
      <c r="A3526" s="41" t="s">
        <v>9307</v>
      </c>
      <c r="B3526" s="25" t="s">
        <v>10348</v>
      </c>
      <c r="C3526" s="19" t="s">
        <v>10349</v>
      </c>
      <c r="D3526" s="42" t="str">
        <f>HYPERLINK("https://rmda.kulib.kyoto-u.ac.jp/item/rb00002938?page=146")</f>
        <v>https://rmda.kulib.kyoto-u.ac.jp/item/rb00002938?page=146</v>
      </c>
      <c r="E3526" s="22"/>
      <c r="F3526" s="22"/>
      <c r="G3526" s="22"/>
    </row>
    <row r="3527" spans="1:7" x14ac:dyDescent="0.15">
      <c r="A3527" s="41" t="s">
        <v>9307</v>
      </c>
      <c r="B3527" s="25" t="s">
        <v>10350</v>
      </c>
      <c r="C3527" s="19" t="s">
        <v>10351</v>
      </c>
      <c r="D3527" s="42" t="str">
        <f>HYPERLINK("https://rmda.kulib.kyoto-u.ac.jp/item/rb00002938?page=146")</f>
        <v>https://rmda.kulib.kyoto-u.ac.jp/item/rb00002938?page=146</v>
      </c>
      <c r="E3527" s="22"/>
      <c r="F3527" s="22"/>
      <c r="G3527" s="22"/>
    </row>
    <row r="3528" spans="1:7" x14ac:dyDescent="0.15">
      <c r="A3528" s="41" t="s">
        <v>9307</v>
      </c>
      <c r="B3528" s="25" t="s">
        <v>10352</v>
      </c>
      <c r="C3528" s="19" t="s">
        <v>10353</v>
      </c>
      <c r="D3528" s="42" t="str">
        <f>HYPERLINK("https://rmda.kulib.kyoto-u.ac.jp/item/rb00002938?page=147")</f>
        <v>https://rmda.kulib.kyoto-u.ac.jp/item/rb00002938?page=147</v>
      </c>
      <c r="E3528" s="22"/>
      <c r="F3528" s="22"/>
      <c r="G3528" s="22"/>
    </row>
    <row r="3529" spans="1:7" x14ac:dyDescent="0.15">
      <c r="A3529" s="41" t="s">
        <v>9307</v>
      </c>
      <c r="B3529" s="25" t="s">
        <v>10354</v>
      </c>
      <c r="C3529" s="19" t="s">
        <v>10355</v>
      </c>
      <c r="D3529" s="42" t="str">
        <f>HYPERLINK("https://rmda.kulib.kyoto-u.ac.jp/item/rb00002938?page=147")</f>
        <v>https://rmda.kulib.kyoto-u.ac.jp/item/rb00002938?page=147</v>
      </c>
      <c r="E3529" s="22"/>
      <c r="F3529" s="22"/>
      <c r="G3529" s="22"/>
    </row>
    <row r="3530" spans="1:7" x14ac:dyDescent="0.15">
      <c r="A3530" s="41" t="s">
        <v>9307</v>
      </c>
      <c r="B3530" s="25" t="s">
        <v>10356</v>
      </c>
      <c r="C3530" s="19" t="s">
        <v>10357</v>
      </c>
      <c r="D3530" s="42" t="str">
        <f>HYPERLINK("https://rmda.kulib.kyoto-u.ac.jp/item/rb00002938?page=147")</f>
        <v>https://rmda.kulib.kyoto-u.ac.jp/item/rb00002938?page=147</v>
      </c>
      <c r="E3530" s="22"/>
      <c r="F3530" s="22"/>
      <c r="G3530" s="22"/>
    </row>
    <row r="3531" spans="1:7" x14ac:dyDescent="0.15">
      <c r="A3531" s="41" t="s">
        <v>9307</v>
      </c>
      <c r="B3531" s="25" t="s">
        <v>10358</v>
      </c>
      <c r="C3531" s="19" t="s">
        <v>10359</v>
      </c>
      <c r="D3531" s="42" t="str">
        <f>HYPERLINK("https://rmda.kulib.kyoto-u.ac.jp/item/rb00002938?page=147")</f>
        <v>https://rmda.kulib.kyoto-u.ac.jp/item/rb00002938?page=147</v>
      </c>
      <c r="E3531" s="22"/>
      <c r="F3531" s="22"/>
      <c r="G3531" s="22"/>
    </row>
    <row r="3532" spans="1:7" x14ac:dyDescent="0.15">
      <c r="A3532" s="41" t="s">
        <v>9307</v>
      </c>
      <c r="B3532" s="25" t="s">
        <v>10360</v>
      </c>
      <c r="C3532" s="19" t="s">
        <v>10361</v>
      </c>
      <c r="D3532" s="42" t="str">
        <f>HYPERLINK("https://rmda.kulib.kyoto-u.ac.jp/item/rb00002938?page=147")</f>
        <v>https://rmda.kulib.kyoto-u.ac.jp/item/rb00002938?page=147</v>
      </c>
      <c r="E3532" s="22"/>
      <c r="F3532" s="22"/>
      <c r="G3532" s="22"/>
    </row>
    <row r="3533" spans="1:7" x14ac:dyDescent="0.15">
      <c r="A3533" s="41" t="s">
        <v>9307</v>
      </c>
      <c r="B3533" s="25" t="s">
        <v>10362</v>
      </c>
      <c r="C3533" s="19" t="s">
        <v>10363</v>
      </c>
      <c r="D3533" s="42" t="str">
        <f t="shared" ref="D3533:D3539" si="252">HYPERLINK("https://rmda.kulib.kyoto-u.ac.jp/item/rb00002938?page=148")</f>
        <v>https://rmda.kulib.kyoto-u.ac.jp/item/rb00002938?page=148</v>
      </c>
      <c r="E3533" s="22"/>
      <c r="F3533" s="22"/>
      <c r="G3533" s="22"/>
    </row>
    <row r="3534" spans="1:7" x14ac:dyDescent="0.15">
      <c r="A3534" s="41" t="s">
        <v>9307</v>
      </c>
      <c r="B3534" s="25" t="s">
        <v>10364</v>
      </c>
      <c r="C3534" s="19" t="s">
        <v>10365</v>
      </c>
      <c r="D3534" s="42" t="str">
        <f t="shared" si="252"/>
        <v>https://rmda.kulib.kyoto-u.ac.jp/item/rb00002938?page=148</v>
      </c>
      <c r="E3534" s="22"/>
      <c r="F3534" s="22"/>
      <c r="G3534" s="22"/>
    </row>
    <row r="3535" spans="1:7" x14ac:dyDescent="0.15">
      <c r="A3535" s="41" t="s">
        <v>9307</v>
      </c>
      <c r="B3535" s="25" t="s">
        <v>10366</v>
      </c>
      <c r="C3535" s="19" t="s">
        <v>10367</v>
      </c>
      <c r="D3535" s="42" t="str">
        <f t="shared" si="252"/>
        <v>https://rmda.kulib.kyoto-u.ac.jp/item/rb00002938?page=148</v>
      </c>
      <c r="E3535" s="22"/>
      <c r="F3535" s="22"/>
      <c r="G3535" s="22"/>
    </row>
    <row r="3536" spans="1:7" x14ac:dyDescent="0.15">
      <c r="A3536" s="41" t="s">
        <v>9307</v>
      </c>
      <c r="B3536" s="25" t="s">
        <v>10368</v>
      </c>
      <c r="C3536" s="19" t="s">
        <v>10369</v>
      </c>
      <c r="D3536" s="42" t="str">
        <f t="shared" si="252"/>
        <v>https://rmda.kulib.kyoto-u.ac.jp/item/rb00002938?page=148</v>
      </c>
      <c r="E3536" s="22"/>
      <c r="F3536" s="22"/>
      <c r="G3536" s="22"/>
    </row>
    <row r="3537" spans="1:7" x14ac:dyDescent="0.15">
      <c r="A3537" s="41" t="s">
        <v>9307</v>
      </c>
      <c r="B3537" s="25" t="s">
        <v>10370</v>
      </c>
      <c r="C3537" s="19" t="s">
        <v>10371</v>
      </c>
      <c r="D3537" s="42" t="str">
        <f t="shared" si="252"/>
        <v>https://rmda.kulib.kyoto-u.ac.jp/item/rb00002938?page=148</v>
      </c>
      <c r="E3537" s="22"/>
      <c r="F3537" s="22"/>
      <c r="G3537" s="22"/>
    </row>
    <row r="3538" spans="1:7" x14ac:dyDescent="0.15">
      <c r="A3538" s="41" t="s">
        <v>9307</v>
      </c>
      <c r="B3538" s="25" t="s">
        <v>10372</v>
      </c>
      <c r="C3538" s="19" t="s">
        <v>10373</v>
      </c>
      <c r="D3538" s="42" t="str">
        <f t="shared" si="252"/>
        <v>https://rmda.kulib.kyoto-u.ac.jp/item/rb00002938?page=148</v>
      </c>
      <c r="E3538" s="22"/>
      <c r="F3538" s="22"/>
      <c r="G3538" s="22"/>
    </row>
    <row r="3539" spans="1:7" x14ac:dyDescent="0.15">
      <c r="A3539" s="41" t="s">
        <v>9307</v>
      </c>
      <c r="B3539" s="25" t="s">
        <v>10374</v>
      </c>
      <c r="C3539" s="19" t="s">
        <v>10375</v>
      </c>
      <c r="D3539" s="42" t="str">
        <f t="shared" si="252"/>
        <v>https://rmda.kulib.kyoto-u.ac.jp/item/rb00002938?page=148</v>
      </c>
      <c r="E3539" s="22"/>
      <c r="F3539" s="22"/>
      <c r="G3539" s="22"/>
    </row>
    <row r="3540" spans="1:7" x14ac:dyDescent="0.15">
      <c r="A3540" s="41" t="s">
        <v>9307</v>
      </c>
      <c r="B3540" s="25" t="s">
        <v>10376</v>
      </c>
      <c r="C3540" s="19" t="s">
        <v>10377</v>
      </c>
      <c r="D3540" s="42" t="str">
        <f>HYPERLINK("https://rmda.kulib.kyoto-u.ac.jp/item/rb00002938?page=149")</f>
        <v>https://rmda.kulib.kyoto-u.ac.jp/item/rb00002938?page=149</v>
      </c>
      <c r="E3540" s="22"/>
      <c r="F3540" s="22"/>
      <c r="G3540" s="22"/>
    </row>
    <row r="3541" spans="1:7" x14ac:dyDescent="0.15">
      <c r="A3541" s="41" t="s">
        <v>9307</v>
      </c>
      <c r="B3541" s="25" t="s">
        <v>10378</v>
      </c>
      <c r="C3541" s="19" t="s">
        <v>10379</v>
      </c>
      <c r="D3541" s="42" t="str">
        <f>HYPERLINK("https://rmda.kulib.kyoto-u.ac.jp/item/rb00002938?page=149")</f>
        <v>https://rmda.kulib.kyoto-u.ac.jp/item/rb00002938?page=149</v>
      </c>
      <c r="E3541" s="22"/>
      <c r="F3541" s="22"/>
      <c r="G3541" s="22"/>
    </row>
    <row r="3542" spans="1:7" x14ac:dyDescent="0.15">
      <c r="A3542" s="41" t="s">
        <v>9307</v>
      </c>
      <c r="B3542" s="25" t="s">
        <v>10380</v>
      </c>
      <c r="C3542" s="19" t="s">
        <v>10381</v>
      </c>
      <c r="D3542" s="42" t="str">
        <f>HYPERLINK("https://rmda.kulib.kyoto-u.ac.jp/item/rb00002938?page=149")</f>
        <v>https://rmda.kulib.kyoto-u.ac.jp/item/rb00002938?page=149</v>
      </c>
      <c r="E3542" s="22"/>
      <c r="F3542" s="22"/>
      <c r="G3542" s="22"/>
    </row>
    <row r="3543" spans="1:7" x14ac:dyDescent="0.15">
      <c r="A3543" s="41" t="s">
        <v>9307</v>
      </c>
      <c r="B3543" s="25" t="s">
        <v>10382</v>
      </c>
      <c r="C3543" s="19" t="s">
        <v>10383</v>
      </c>
      <c r="D3543" s="42" t="str">
        <f>HYPERLINK("https://rmda.kulib.kyoto-u.ac.jp/item/rb00002938?page=149")</f>
        <v>https://rmda.kulib.kyoto-u.ac.jp/item/rb00002938?page=149</v>
      </c>
      <c r="E3543" s="22"/>
      <c r="F3543" s="22"/>
      <c r="G3543" s="22"/>
    </row>
    <row r="3544" spans="1:7" x14ac:dyDescent="0.15">
      <c r="A3544" s="41" t="s">
        <v>9307</v>
      </c>
      <c r="B3544" s="25" t="s">
        <v>10384</v>
      </c>
      <c r="C3544" s="19" t="s">
        <v>10385</v>
      </c>
      <c r="D3544" s="42" t="str">
        <f t="shared" ref="D3544:D3549" si="253">HYPERLINK("https://rmda.kulib.kyoto-u.ac.jp/item/rb00002938?page=150")</f>
        <v>https://rmda.kulib.kyoto-u.ac.jp/item/rb00002938?page=150</v>
      </c>
      <c r="E3544" s="22"/>
      <c r="F3544" s="22"/>
      <c r="G3544" s="22"/>
    </row>
    <row r="3545" spans="1:7" x14ac:dyDescent="0.15">
      <c r="A3545" s="41" t="s">
        <v>9307</v>
      </c>
      <c r="B3545" s="25" t="s">
        <v>10386</v>
      </c>
      <c r="C3545" s="19" t="s">
        <v>10387</v>
      </c>
      <c r="D3545" s="42" t="str">
        <f t="shared" si="253"/>
        <v>https://rmda.kulib.kyoto-u.ac.jp/item/rb00002938?page=150</v>
      </c>
      <c r="E3545" s="22"/>
      <c r="F3545" s="22"/>
      <c r="G3545" s="22"/>
    </row>
    <row r="3546" spans="1:7" x14ac:dyDescent="0.15">
      <c r="A3546" s="41" t="s">
        <v>9307</v>
      </c>
      <c r="B3546" s="25" t="s">
        <v>10388</v>
      </c>
      <c r="C3546" s="19" t="s">
        <v>10389</v>
      </c>
      <c r="D3546" s="42" t="str">
        <f t="shared" si="253"/>
        <v>https://rmda.kulib.kyoto-u.ac.jp/item/rb00002938?page=150</v>
      </c>
      <c r="E3546" s="22"/>
      <c r="F3546" s="22"/>
      <c r="G3546" s="22"/>
    </row>
    <row r="3547" spans="1:7" x14ac:dyDescent="0.15">
      <c r="A3547" s="41" t="s">
        <v>9307</v>
      </c>
      <c r="B3547" s="25" t="s">
        <v>10390</v>
      </c>
      <c r="C3547" s="19" t="s">
        <v>10391</v>
      </c>
      <c r="D3547" s="42" t="str">
        <f t="shared" si="253"/>
        <v>https://rmda.kulib.kyoto-u.ac.jp/item/rb00002938?page=150</v>
      </c>
      <c r="E3547" s="22"/>
      <c r="F3547" s="22"/>
      <c r="G3547" s="22"/>
    </row>
    <row r="3548" spans="1:7" x14ac:dyDescent="0.15">
      <c r="A3548" s="41" t="s">
        <v>9307</v>
      </c>
      <c r="B3548" s="25" t="s">
        <v>10392</v>
      </c>
      <c r="C3548" s="19" t="s">
        <v>10393</v>
      </c>
      <c r="D3548" s="42" t="str">
        <f t="shared" si="253"/>
        <v>https://rmda.kulib.kyoto-u.ac.jp/item/rb00002938?page=150</v>
      </c>
      <c r="E3548" s="22"/>
      <c r="F3548" s="22"/>
      <c r="G3548" s="22"/>
    </row>
    <row r="3549" spans="1:7" x14ac:dyDescent="0.15">
      <c r="A3549" s="41" t="s">
        <v>9307</v>
      </c>
      <c r="B3549" s="25" t="s">
        <v>10394</v>
      </c>
      <c r="C3549" s="19" t="s">
        <v>10395</v>
      </c>
      <c r="D3549" s="42" t="str">
        <f t="shared" si="253"/>
        <v>https://rmda.kulib.kyoto-u.ac.jp/item/rb00002938?page=150</v>
      </c>
      <c r="E3549" s="22"/>
      <c r="F3549" s="22"/>
      <c r="G3549" s="22"/>
    </row>
    <row r="3550" spans="1:7" x14ac:dyDescent="0.15">
      <c r="A3550" s="41" t="s">
        <v>9307</v>
      </c>
      <c r="B3550" s="25" t="s">
        <v>10396</v>
      </c>
      <c r="C3550" s="19" t="s">
        <v>10397</v>
      </c>
      <c r="D3550" s="42" t="str">
        <f t="shared" ref="D3550:D3555" si="254">HYPERLINK("https://rmda.kulib.kyoto-u.ac.jp/item/rb00002938?page=151")</f>
        <v>https://rmda.kulib.kyoto-u.ac.jp/item/rb00002938?page=151</v>
      </c>
      <c r="E3550" s="22"/>
      <c r="F3550" s="22"/>
      <c r="G3550" s="22"/>
    </row>
    <row r="3551" spans="1:7" x14ac:dyDescent="0.15">
      <c r="A3551" s="41" t="s">
        <v>9307</v>
      </c>
      <c r="B3551" s="25" t="s">
        <v>10398</v>
      </c>
      <c r="C3551" s="19" t="s">
        <v>10399</v>
      </c>
      <c r="D3551" s="42" t="str">
        <f t="shared" si="254"/>
        <v>https://rmda.kulib.kyoto-u.ac.jp/item/rb00002938?page=151</v>
      </c>
      <c r="E3551" s="22"/>
      <c r="F3551" s="22"/>
      <c r="G3551" s="22"/>
    </row>
    <row r="3552" spans="1:7" x14ac:dyDescent="0.15">
      <c r="A3552" s="41" t="s">
        <v>9307</v>
      </c>
      <c r="B3552" s="25" t="s">
        <v>10400</v>
      </c>
      <c r="C3552" s="19" t="s">
        <v>10401</v>
      </c>
      <c r="D3552" s="42" t="str">
        <f t="shared" si="254"/>
        <v>https://rmda.kulib.kyoto-u.ac.jp/item/rb00002938?page=151</v>
      </c>
      <c r="E3552" s="22"/>
      <c r="F3552" s="22"/>
      <c r="G3552" s="22"/>
    </row>
    <row r="3553" spans="1:7" x14ac:dyDescent="0.15">
      <c r="A3553" s="41" t="s">
        <v>9307</v>
      </c>
      <c r="B3553" s="25" t="s">
        <v>10402</v>
      </c>
      <c r="C3553" s="19" t="s">
        <v>10403</v>
      </c>
      <c r="D3553" s="42" t="str">
        <f t="shared" si="254"/>
        <v>https://rmda.kulib.kyoto-u.ac.jp/item/rb00002938?page=151</v>
      </c>
      <c r="E3553" s="22"/>
      <c r="F3553" s="22"/>
      <c r="G3553" s="22"/>
    </row>
    <row r="3554" spans="1:7" x14ac:dyDescent="0.15">
      <c r="A3554" s="41" t="s">
        <v>9307</v>
      </c>
      <c r="B3554" s="25" t="s">
        <v>10404</v>
      </c>
      <c r="C3554" s="19" t="s">
        <v>10405</v>
      </c>
      <c r="D3554" s="42" t="str">
        <f t="shared" si="254"/>
        <v>https://rmda.kulib.kyoto-u.ac.jp/item/rb00002938?page=151</v>
      </c>
      <c r="E3554" s="22"/>
      <c r="F3554" s="22"/>
      <c r="G3554" s="22"/>
    </row>
    <row r="3555" spans="1:7" x14ac:dyDescent="0.15">
      <c r="A3555" s="41" t="s">
        <v>9307</v>
      </c>
      <c r="B3555" s="25" t="s">
        <v>10406</v>
      </c>
      <c r="C3555" s="19" t="s">
        <v>10407</v>
      </c>
      <c r="D3555" s="42" t="str">
        <f t="shared" si="254"/>
        <v>https://rmda.kulib.kyoto-u.ac.jp/item/rb00002938?page=151</v>
      </c>
      <c r="E3555" s="22"/>
      <c r="F3555" s="22"/>
      <c r="G3555" s="22"/>
    </row>
    <row r="3556" spans="1:7" x14ac:dyDescent="0.15">
      <c r="A3556" s="41" t="s">
        <v>9307</v>
      </c>
      <c r="B3556" s="25" t="s">
        <v>10408</v>
      </c>
      <c r="C3556" s="19" t="s">
        <v>10409</v>
      </c>
      <c r="D3556" s="42" t="str">
        <f>HYPERLINK("https://rmda.kulib.kyoto-u.ac.jp/item/rb00002938?page=152")</f>
        <v>https://rmda.kulib.kyoto-u.ac.jp/item/rb00002938?page=152</v>
      </c>
      <c r="E3556" s="22"/>
      <c r="F3556" s="22"/>
      <c r="G3556" s="22"/>
    </row>
    <row r="3557" spans="1:7" x14ac:dyDescent="0.15">
      <c r="A3557" s="41" t="s">
        <v>9307</v>
      </c>
      <c r="B3557" s="25" t="s">
        <v>10410</v>
      </c>
      <c r="C3557" s="19" t="s">
        <v>10411</v>
      </c>
      <c r="D3557" s="42" t="str">
        <f>HYPERLINK("https://rmda.kulib.kyoto-u.ac.jp/item/rb00002938?page=153")</f>
        <v>https://rmda.kulib.kyoto-u.ac.jp/item/rb00002938?page=153</v>
      </c>
      <c r="E3557" s="22"/>
      <c r="F3557" s="22"/>
      <c r="G3557" s="22"/>
    </row>
    <row r="3558" spans="1:7" x14ac:dyDescent="0.15">
      <c r="A3558" s="41" t="s">
        <v>9307</v>
      </c>
      <c r="B3558" s="25" t="s">
        <v>10412</v>
      </c>
      <c r="C3558" s="19" t="s">
        <v>10413</v>
      </c>
      <c r="D3558" s="42" t="str">
        <f>HYPERLINK("https://rmda.kulib.kyoto-u.ac.jp/item/rb00002938?page=153")</f>
        <v>https://rmda.kulib.kyoto-u.ac.jp/item/rb00002938?page=153</v>
      </c>
      <c r="E3558" s="22"/>
      <c r="F3558" s="22"/>
      <c r="G3558" s="22"/>
    </row>
    <row r="3559" spans="1:7" x14ac:dyDescent="0.15">
      <c r="A3559" s="41" t="s">
        <v>9307</v>
      </c>
      <c r="B3559" s="25" t="s">
        <v>10414</v>
      </c>
      <c r="C3559" s="19" t="s">
        <v>10415</v>
      </c>
      <c r="D3559" s="42" t="str">
        <f>HYPERLINK("https://rmda.kulib.kyoto-u.ac.jp/item/rb00002938?page=154")</f>
        <v>https://rmda.kulib.kyoto-u.ac.jp/item/rb00002938?page=154</v>
      </c>
      <c r="E3559" s="22"/>
      <c r="F3559" s="22"/>
      <c r="G3559" s="22"/>
    </row>
    <row r="3560" spans="1:7" x14ac:dyDescent="0.15">
      <c r="A3560" s="41" t="s">
        <v>9307</v>
      </c>
      <c r="B3560" s="25" t="s">
        <v>10416</v>
      </c>
      <c r="C3560" s="19" t="s">
        <v>10417</v>
      </c>
      <c r="D3560" s="42" t="str">
        <f>HYPERLINK("https://rmda.kulib.kyoto-u.ac.jp/item/rb00002938?page=155")</f>
        <v>https://rmda.kulib.kyoto-u.ac.jp/item/rb00002938?page=155</v>
      </c>
      <c r="E3560" s="22"/>
      <c r="F3560" s="22"/>
      <c r="G3560" s="22"/>
    </row>
    <row r="3561" spans="1:7" x14ac:dyDescent="0.15">
      <c r="A3561" s="41" t="s">
        <v>9307</v>
      </c>
      <c r="B3561" s="25" t="s">
        <v>10418</v>
      </c>
      <c r="C3561" s="19" t="s">
        <v>10419</v>
      </c>
      <c r="D3561" s="42" t="str">
        <f>HYPERLINK("https://rmda.kulib.kyoto-u.ac.jp/item/rb00002938?page=155")</f>
        <v>https://rmda.kulib.kyoto-u.ac.jp/item/rb00002938?page=155</v>
      </c>
      <c r="E3561" s="22"/>
      <c r="F3561" s="22"/>
      <c r="G3561" s="22"/>
    </row>
    <row r="3562" spans="1:7" x14ac:dyDescent="0.15">
      <c r="A3562" s="41" t="s">
        <v>9307</v>
      </c>
      <c r="B3562" s="25" t="s">
        <v>10420</v>
      </c>
      <c r="C3562" s="19" t="s">
        <v>10421</v>
      </c>
      <c r="D3562" s="42" t="str">
        <f>HYPERLINK("https://rmda.kulib.kyoto-u.ac.jp/item/rb00002938?page=155")</f>
        <v>https://rmda.kulib.kyoto-u.ac.jp/item/rb00002938?page=155</v>
      </c>
      <c r="E3562" s="22"/>
      <c r="F3562" s="22"/>
      <c r="G3562" s="22"/>
    </row>
    <row r="3563" spans="1:7" x14ac:dyDescent="0.15">
      <c r="A3563" s="41" t="s">
        <v>9307</v>
      </c>
      <c r="B3563" s="25" t="s">
        <v>10422</v>
      </c>
      <c r="C3563" s="19" t="s">
        <v>10423</v>
      </c>
      <c r="D3563" s="42" t="str">
        <f>HYPERLINK("https://rmda.kulib.kyoto-u.ac.jp/item/rb00002938?page=156")</f>
        <v>https://rmda.kulib.kyoto-u.ac.jp/item/rb00002938?page=156</v>
      </c>
      <c r="E3563" s="22"/>
      <c r="F3563" s="22"/>
      <c r="G3563" s="22"/>
    </row>
    <row r="3564" spans="1:7" x14ac:dyDescent="0.15">
      <c r="A3564" s="41" t="s">
        <v>9307</v>
      </c>
      <c r="B3564" s="25" t="s">
        <v>10424</v>
      </c>
      <c r="C3564" s="19" t="s">
        <v>10425</v>
      </c>
      <c r="D3564" s="42" t="str">
        <f>HYPERLINK("https://rmda.kulib.kyoto-u.ac.jp/item/rb00002938?page=156")</f>
        <v>https://rmda.kulib.kyoto-u.ac.jp/item/rb00002938?page=156</v>
      </c>
      <c r="E3564" s="22"/>
      <c r="F3564" s="22"/>
      <c r="G3564" s="22"/>
    </row>
    <row r="3565" spans="1:7" x14ac:dyDescent="0.15">
      <c r="A3565" s="41" t="s">
        <v>9307</v>
      </c>
      <c r="B3565" s="25" t="s">
        <v>10426</v>
      </c>
      <c r="C3565" s="19" t="s">
        <v>10427</v>
      </c>
      <c r="D3565" s="42" t="str">
        <f>HYPERLINK("https://rmda.kulib.kyoto-u.ac.jp/item/rb00002938?page=159")</f>
        <v>https://rmda.kulib.kyoto-u.ac.jp/item/rb00002938?page=159</v>
      </c>
      <c r="E3565" s="22"/>
      <c r="F3565" s="22"/>
      <c r="G3565" s="22"/>
    </row>
    <row r="3566" spans="1:7" x14ac:dyDescent="0.15">
      <c r="A3566" s="41" t="s">
        <v>9307</v>
      </c>
      <c r="B3566" s="25" t="s">
        <v>10428</v>
      </c>
      <c r="C3566" s="19" t="s">
        <v>10429</v>
      </c>
      <c r="D3566" s="42" t="str">
        <f>HYPERLINK("https://rmda.kulib.kyoto-u.ac.jp/item/rb00002938?page=159")</f>
        <v>https://rmda.kulib.kyoto-u.ac.jp/item/rb00002938?page=159</v>
      </c>
      <c r="E3566" s="22"/>
      <c r="F3566" s="22"/>
      <c r="G3566" s="22"/>
    </row>
    <row r="3567" spans="1:7" x14ac:dyDescent="0.15">
      <c r="A3567" s="41" t="s">
        <v>9307</v>
      </c>
      <c r="B3567" s="25" t="s">
        <v>10430</v>
      </c>
      <c r="C3567" s="19" t="s">
        <v>10431</v>
      </c>
      <c r="D3567" s="42" t="str">
        <f>HYPERLINK("https://rmda.kulib.kyoto-u.ac.jp/item/rb00002938?page=159")</f>
        <v>https://rmda.kulib.kyoto-u.ac.jp/item/rb00002938?page=159</v>
      </c>
      <c r="E3567" s="22"/>
      <c r="F3567" s="22"/>
      <c r="G3567" s="22"/>
    </row>
    <row r="3568" spans="1:7" x14ac:dyDescent="0.15">
      <c r="A3568" s="41" t="s">
        <v>9307</v>
      </c>
      <c r="B3568" s="25" t="s">
        <v>10432</v>
      </c>
      <c r="C3568" s="19" t="s">
        <v>10433</v>
      </c>
      <c r="D3568" s="42" t="str">
        <f>HYPERLINK("https://rmda.kulib.kyoto-u.ac.jp/item/rb00002938?page=159")</f>
        <v>https://rmda.kulib.kyoto-u.ac.jp/item/rb00002938?page=159</v>
      </c>
      <c r="E3568" s="22"/>
      <c r="F3568" s="22"/>
      <c r="G3568" s="22"/>
    </row>
    <row r="3569" spans="1:7" x14ac:dyDescent="0.15">
      <c r="A3569" s="41" t="s">
        <v>9307</v>
      </c>
      <c r="B3569" s="25" t="s">
        <v>10434</v>
      </c>
      <c r="C3569" s="19" t="s">
        <v>10435</v>
      </c>
      <c r="D3569" s="42" t="str">
        <f>HYPERLINK("https://rmda.kulib.kyoto-u.ac.jp/item/rb00002938?page=160")</f>
        <v>https://rmda.kulib.kyoto-u.ac.jp/item/rb00002938?page=160</v>
      </c>
      <c r="E3569" s="22"/>
      <c r="F3569" s="22"/>
      <c r="G3569" s="22"/>
    </row>
    <row r="3570" spans="1:7" x14ac:dyDescent="0.15">
      <c r="A3570" s="41" t="s">
        <v>9307</v>
      </c>
      <c r="B3570" s="25" t="s">
        <v>10436</v>
      </c>
      <c r="C3570" s="19" t="s">
        <v>10437</v>
      </c>
      <c r="D3570" s="42" t="str">
        <f>HYPERLINK("https://rmda.kulib.kyoto-u.ac.jp/item/rb00002938?page=160")</f>
        <v>https://rmda.kulib.kyoto-u.ac.jp/item/rb00002938?page=160</v>
      </c>
      <c r="E3570" s="22"/>
      <c r="F3570" s="22"/>
      <c r="G3570" s="22"/>
    </row>
    <row r="3571" spans="1:7" x14ac:dyDescent="0.15">
      <c r="A3571" s="41" t="s">
        <v>9307</v>
      </c>
      <c r="B3571" s="25" t="s">
        <v>10438</v>
      </c>
      <c r="C3571" s="19" t="s">
        <v>10439</v>
      </c>
      <c r="D3571" s="42" t="str">
        <f>HYPERLINK("https://rmda.kulib.kyoto-u.ac.jp/item/rb00002938?page=160")</f>
        <v>https://rmda.kulib.kyoto-u.ac.jp/item/rb00002938?page=160</v>
      </c>
      <c r="E3571" s="22"/>
      <c r="F3571" s="22"/>
      <c r="G3571" s="22"/>
    </row>
    <row r="3572" spans="1:7" x14ac:dyDescent="0.15">
      <c r="A3572" s="41" t="s">
        <v>9307</v>
      </c>
      <c r="B3572" s="25" t="s">
        <v>10440</v>
      </c>
      <c r="C3572" s="19" t="s">
        <v>10441</v>
      </c>
      <c r="D3572" s="42" t="str">
        <f t="shared" ref="D3572:D3577" si="255">HYPERLINK("https://rmda.kulib.kyoto-u.ac.jp/item/rb00002938?page=161")</f>
        <v>https://rmda.kulib.kyoto-u.ac.jp/item/rb00002938?page=161</v>
      </c>
      <c r="E3572" s="22"/>
      <c r="F3572" s="22"/>
      <c r="G3572" s="22"/>
    </row>
    <row r="3573" spans="1:7" x14ac:dyDescent="0.15">
      <c r="A3573" s="41" t="s">
        <v>9307</v>
      </c>
      <c r="B3573" s="25" t="s">
        <v>10442</v>
      </c>
      <c r="C3573" s="19" t="s">
        <v>10443</v>
      </c>
      <c r="D3573" s="42" t="str">
        <f t="shared" si="255"/>
        <v>https://rmda.kulib.kyoto-u.ac.jp/item/rb00002938?page=161</v>
      </c>
      <c r="E3573" s="22"/>
      <c r="F3573" s="22"/>
      <c r="G3573" s="22"/>
    </row>
    <row r="3574" spans="1:7" x14ac:dyDescent="0.15">
      <c r="A3574" s="41" t="s">
        <v>9307</v>
      </c>
      <c r="B3574" s="25" t="s">
        <v>10444</v>
      </c>
      <c r="C3574" s="19" t="s">
        <v>10445</v>
      </c>
      <c r="D3574" s="42" t="str">
        <f t="shared" si="255"/>
        <v>https://rmda.kulib.kyoto-u.ac.jp/item/rb00002938?page=161</v>
      </c>
      <c r="E3574" s="22"/>
      <c r="F3574" s="22"/>
      <c r="G3574" s="22"/>
    </row>
    <row r="3575" spans="1:7" x14ac:dyDescent="0.15">
      <c r="A3575" s="41" t="s">
        <v>9307</v>
      </c>
      <c r="B3575" s="25" t="s">
        <v>10446</v>
      </c>
      <c r="C3575" s="19" t="s">
        <v>10447</v>
      </c>
      <c r="D3575" s="42" t="str">
        <f t="shared" si="255"/>
        <v>https://rmda.kulib.kyoto-u.ac.jp/item/rb00002938?page=161</v>
      </c>
      <c r="E3575" s="22"/>
      <c r="F3575" s="22"/>
      <c r="G3575" s="22"/>
    </row>
    <row r="3576" spans="1:7" x14ac:dyDescent="0.15">
      <c r="A3576" s="41" t="s">
        <v>9307</v>
      </c>
      <c r="B3576" s="25" t="s">
        <v>10448</v>
      </c>
      <c r="C3576" s="19" t="s">
        <v>10449</v>
      </c>
      <c r="D3576" s="42" t="str">
        <f t="shared" si="255"/>
        <v>https://rmda.kulib.kyoto-u.ac.jp/item/rb00002938?page=161</v>
      </c>
      <c r="E3576" s="22"/>
      <c r="F3576" s="22"/>
      <c r="G3576" s="22"/>
    </row>
    <row r="3577" spans="1:7" x14ac:dyDescent="0.15">
      <c r="A3577" s="41" t="s">
        <v>9307</v>
      </c>
      <c r="B3577" s="25" t="s">
        <v>10450</v>
      </c>
      <c r="C3577" s="19" t="s">
        <v>10451</v>
      </c>
      <c r="D3577" s="42" t="str">
        <f t="shared" si="255"/>
        <v>https://rmda.kulib.kyoto-u.ac.jp/item/rb00002938?page=161</v>
      </c>
      <c r="E3577" s="22"/>
      <c r="F3577" s="22"/>
      <c r="G3577" s="22"/>
    </row>
    <row r="3578" spans="1:7" x14ac:dyDescent="0.15">
      <c r="A3578" s="41" t="s">
        <v>9307</v>
      </c>
      <c r="B3578" s="25" t="s">
        <v>10452</v>
      </c>
      <c r="C3578" s="19" t="s">
        <v>10453</v>
      </c>
      <c r="D3578" s="42" t="str">
        <f t="shared" ref="D3578:D3583" si="256">HYPERLINK("https://rmda.kulib.kyoto-u.ac.jp/item/rb00002938?page=162")</f>
        <v>https://rmda.kulib.kyoto-u.ac.jp/item/rb00002938?page=162</v>
      </c>
      <c r="E3578" s="22"/>
      <c r="F3578" s="22"/>
      <c r="G3578" s="22"/>
    </row>
    <row r="3579" spans="1:7" x14ac:dyDescent="0.15">
      <c r="A3579" s="41" t="s">
        <v>9307</v>
      </c>
      <c r="B3579" s="25" t="s">
        <v>10454</v>
      </c>
      <c r="C3579" s="19" t="s">
        <v>10455</v>
      </c>
      <c r="D3579" s="42" t="str">
        <f t="shared" si="256"/>
        <v>https://rmda.kulib.kyoto-u.ac.jp/item/rb00002938?page=162</v>
      </c>
      <c r="E3579" s="22"/>
      <c r="F3579" s="22"/>
      <c r="G3579" s="22"/>
    </row>
    <row r="3580" spans="1:7" x14ac:dyDescent="0.15">
      <c r="A3580" s="41" t="s">
        <v>9307</v>
      </c>
      <c r="B3580" s="25" t="s">
        <v>10456</v>
      </c>
      <c r="C3580" s="19" t="s">
        <v>10457</v>
      </c>
      <c r="D3580" s="42" t="str">
        <f t="shared" si="256"/>
        <v>https://rmda.kulib.kyoto-u.ac.jp/item/rb00002938?page=162</v>
      </c>
      <c r="E3580" s="22"/>
      <c r="F3580" s="22"/>
      <c r="G3580" s="22"/>
    </row>
    <row r="3581" spans="1:7" x14ac:dyDescent="0.15">
      <c r="A3581" s="41" t="s">
        <v>9307</v>
      </c>
      <c r="B3581" s="25" t="s">
        <v>10458</v>
      </c>
      <c r="C3581" s="19" t="s">
        <v>10459</v>
      </c>
      <c r="D3581" s="42" t="str">
        <f t="shared" si="256"/>
        <v>https://rmda.kulib.kyoto-u.ac.jp/item/rb00002938?page=162</v>
      </c>
      <c r="E3581" s="22"/>
      <c r="F3581" s="22"/>
      <c r="G3581" s="22"/>
    </row>
    <row r="3582" spans="1:7" x14ac:dyDescent="0.15">
      <c r="A3582" s="41" t="s">
        <v>9307</v>
      </c>
      <c r="B3582" s="25" t="s">
        <v>10460</v>
      </c>
      <c r="C3582" s="19" t="s">
        <v>10461</v>
      </c>
      <c r="D3582" s="42" t="str">
        <f t="shared" si="256"/>
        <v>https://rmda.kulib.kyoto-u.ac.jp/item/rb00002938?page=162</v>
      </c>
      <c r="E3582" s="22"/>
      <c r="F3582" s="22"/>
      <c r="G3582" s="22"/>
    </row>
    <row r="3583" spans="1:7" x14ac:dyDescent="0.15">
      <c r="A3583" s="41" t="s">
        <v>9307</v>
      </c>
      <c r="B3583" s="25" t="s">
        <v>10462</v>
      </c>
      <c r="C3583" s="19" t="s">
        <v>10463</v>
      </c>
      <c r="D3583" s="42" t="str">
        <f t="shared" si="256"/>
        <v>https://rmda.kulib.kyoto-u.ac.jp/item/rb00002938?page=162</v>
      </c>
      <c r="E3583" s="22"/>
      <c r="F3583" s="22"/>
      <c r="G3583" s="22"/>
    </row>
    <row r="3584" spans="1:7" x14ac:dyDescent="0.15">
      <c r="A3584" s="41" t="s">
        <v>9307</v>
      </c>
      <c r="B3584" s="25" t="s">
        <v>10464</v>
      </c>
      <c r="C3584" s="19" t="s">
        <v>10465</v>
      </c>
      <c r="D3584" s="42" t="str">
        <f t="shared" ref="D3584:D3589" si="257">HYPERLINK("https://rmda.kulib.kyoto-u.ac.jp/item/rb00002938?page=163")</f>
        <v>https://rmda.kulib.kyoto-u.ac.jp/item/rb00002938?page=163</v>
      </c>
      <c r="E3584" s="22"/>
      <c r="F3584" s="22"/>
      <c r="G3584" s="22"/>
    </row>
    <row r="3585" spans="1:7" x14ac:dyDescent="0.15">
      <c r="A3585" s="41" t="s">
        <v>9307</v>
      </c>
      <c r="B3585" s="25" t="s">
        <v>10466</v>
      </c>
      <c r="C3585" s="19" t="s">
        <v>10467</v>
      </c>
      <c r="D3585" s="42" t="str">
        <f t="shared" si="257"/>
        <v>https://rmda.kulib.kyoto-u.ac.jp/item/rb00002938?page=163</v>
      </c>
      <c r="E3585" s="22"/>
      <c r="F3585" s="22"/>
      <c r="G3585" s="22"/>
    </row>
    <row r="3586" spans="1:7" x14ac:dyDescent="0.15">
      <c r="A3586" s="41" t="s">
        <v>9307</v>
      </c>
      <c r="B3586" s="25" t="s">
        <v>10468</v>
      </c>
      <c r="C3586" s="19" t="s">
        <v>10469</v>
      </c>
      <c r="D3586" s="42" t="str">
        <f t="shared" si="257"/>
        <v>https://rmda.kulib.kyoto-u.ac.jp/item/rb00002938?page=163</v>
      </c>
      <c r="E3586" s="22"/>
      <c r="F3586" s="22"/>
      <c r="G3586" s="22"/>
    </row>
    <row r="3587" spans="1:7" x14ac:dyDescent="0.15">
      <c r="A3587" s="41" t="s">
        <v>9307</v>
      </c>
      <c r="B3587" s="25" t="s">
        <v>10470</v>
      </c>
      <c r="C3587" s="19" t="s">
        <v>10471</v>
      </c>
      <c r="D3587" s="42" t="str">
        <f t="shared" si="257"/>
        <v>https://rmda.kulib.kyoto-u.ac.jp/item/rb00002938?page=163</v>
      </c>
      <c r="E3587" s="22"/>
      <c r="F3587" s="22"/>
      <c r="G3587" s="22"/>
    </row>
    <row r="3588" spans="1:7" x14ac:dyDescent="0.15">
      <c r="A3588" s="41" t="s">
        <v>9307</v>
      </c>
      <c r="B3588" s="25" t="s">
        <v>10472</v>
      </c>
      <c r="C3588" s="19" t="s">
        <v>10473</v>
      </c>
      <c r="D3588" s="42" t="str">
        <f t="shared" si="257"/>
        <v>https://rmda.kulib.kyoto-u.ac.jp/item/rb00002938?page=163</v>
      </c>
      <c r="E3588" s="22"/>
      <c r="F3588" s="22"/>
      <c r="G3588" s="22"/>
    </row>
    <row r="3589" spans="1:7" x14ac:dyDescent="0.15">
      <c r="A3589" s="41" t="s">
        <v>9307</v>
      </c>
      <c r="B3589" s="25" t="s">
        <v>10474</v>
      </c>
      <c r="C3589" s="19" t="s">
        <v>10475</v>
      </c>
      <c r="D3589" s="42" t="str">
        <f t="shared" si="257"/>
        <v>https://rmda.kulib.kyoto-u.ac.jp/item/rb00002938?page=163</v>
      </c>
      <c r="E3589" s="22"/>
      <c r="F3589" s="22"/>
      <c r="G3589" s="22"/>
    </row>
    <row r="3590" spans="1:7" x14ac:dyDescent="0.15">
      <c r="A3590" s="41" t="s">
        <v>9307</v>
      </c>
      <c r="B3590" s="25" t="s">
        <v>10476</v>
      </c>
      <c r="C3590" s="19" t="s">
        <v>10477</v>
      </c>
      <c r="D3590" s="42" t="str">
        <f>HYPERLINK("https://rmda.kulib.kyoto-u.ac.jp/item/rb00002938?page=164")</f>
        <v>https://rmda.kulib.kyoto-u.ac.jp/item/rb00002938?page=164</v>
      </c>
      <c r="E3590" s="22"/>
      <c r="F3590" s="22"/>
      <c r="G3590" s="22"/>
    </row>
    <row r="3591" spans="1:7" x14ac:dyDescent="0.15">
      <c r="A3591" s="41" t="s">
        <v>9307</v>
      </c>
      <c r="B3591" s="25" t="s">
        <v>10478</v>
      </c>
      <c r="C3591" s="19" t="s">
        <v>10479</v>
      </c>
      <c r="D3591" s="42" t="str">
        <f>HYPERLINK("https://rmda.kulib.kyoto-u.ac.jp/item/rb00002938?page=164")</f>
        <v>https://rmda.kulib.kyoto-u.ac.jp/item/rb00002938?page=164</v>
      </c>
      <c r="E3591" s="22"/>
      <c r="F3591" s="22"/>
      <c r="G3591" s="22"/>
    </row>
    <row r="3592" spans="1:7" x14ac:dyDescent="0.15">
      <c r="A3592" s="41" t="s">
        <v>9307</v>
      </c>
      <c r="B3592" s="25" t="s">
        <v>10480</v>
      </c>
      <c r="C3592" s="19" t="s">
        <v>10481</v>
      </c>
      <c r="D3592" s="42" t="str">
        <f>HYPERLINK("https://rmda.kulib.kyoto-u.ac.jp/item/rb00002938?page=164")</f>
        <v>https://rmda.kulib.kyoto-u.ac.jp/item/rb00002938?page=164</v>
      </c>
      <c r="E3592" s="22"/>
      <c r="F3592" s="22"/>
      <c r="G3592" s="22"/>
    </row>
    <row r="3593" spans="1:7" x14ac:dyDescent="0.15">
      <c r="A3593" s="41" t="s">
        <v>9307</v>
      </c>
      <c r="B3593" s="25" t="s">
        <v>10482</v>
      </c>
      <c r="C3593" s="19" t="s">
        <v>10483</v>
      </c>
      <c r="D3593" s="42" t="str">
        <f>HYPERLINK("https://rmda.kulib.kyoto-u.ac.jp/item/rb00002938?page=164")</f>
        <v>https://rmda.kulib.kyoto-u.ac.jp/item/rb00002938?page=164</v>
      </c>
      <c r="E3593" s="22"/>
      <c r="F3593" s="22"/>
      <c r="G3593" s="22"/>
    </row>
    <row r="3594" spans="1:7" x14ac:dyDescent="0.15">
      <c r="A3594" s="41" t="s">
        <v>9307</v>
      </c>
      <c r="B3594" s="25" t="s">
        <v>10484</v>
      </c>
      <c r="C3594" s="19" t="s">
        <v>10485</v>
      </c>
      <c r="D3594" s="42" t="str">
        <f>HYPERLINK("https://rmda.kulib.kyoto-u.ac.jp/item/rb00002938?page=164")</f>
        <v>https://rmda.kulib.kyoto-u.ac.jp/item/rb00002938?page=164</v>
      </c>
      <c r="E3594" s="22"/>
      <c r="F3594" s="22"/>
      <c r="G3594" s="22"/>
    </row>
    <row r="3595" spans="1:7" x14ac:dyDescent="0.15">
      <c r="A3595" s="41" t="s">
        <v>9307</v>
      </c>
      <c r="B3595" s="25" t="s">
        <v>10486</v>
      </c>
      <c r="C3595" s="19" t="s">
        <v>10487</v>
      </c>
      <c r="D3595" s="42" t="str">
        <f>HYPERLINK("https://rmda.kulib.kyoto-u.ac.jp/item/rb00002938?page=165")</f>
        <v>https://rmda.kulib.kyoto-u.ac.jp/item/rb00002938?page=165</v>
      </c>
      <c r="E3595" s="22"/>
      <c r="F3595" s="22"/>
      <c r="G3595" s="22"/>
    </row>
    <row r="3596" spans="1:7" x14ac:dyDescent="0.15">
      <c r="A3596" s="41" t="s">
        <v>9307</v>
      </c>
      <c r="B3596" s="25" t="s">
        <v>10488</v>
      </c>
      <c r="C3596" s="19" t="s">
        <v>10489</v>
      </c>
      <c r="D3596" s="42" t="str">
        <f>HYPERLINK("https://rmda.kulib.kyoto-u.ac.jp/item/rb00002938?page=165")</f>
        <v>https://rmda.kulib.kyoto-u.ac.jp/item/rb00002938?page=165</v>
      </c>
      <c r="E3596" s="22"/>
      <c r="F3596" s="22"/>
      <c r="G3596" s="22"/>
    </row>
    <row r="3597" spans="1:7" x14ac:dyDescent="0.15">
      <c r="A3597" s="41" t="s">
        <v>9307</v>
      </c>
      <c r="B3597" s="25" t="s">
        <v>10490</v>
      </c>
      <c r="C3597" s="19" t="s">
        <v>10491</v>
      </c>
      <c r="D3597" s="42" t="str">
        <f>HYPERLINK("https://rmda.kulib.kyoto-u.ac.jp/item/rb00002938?page=165")</f>
        <v>https://rmda.kulib.kyoto-u.ac.jp/item/rb00002938?page=165</v>
      </c>
      <c r="E3597" s="22"/>
      <c r="F3597" s="22"/>
      <c r="G3597" s="22"/>
    </row>
    <row r="3598" spans="1:7" x14ac:dyDescent="0.15">
      <c r="A3598" s="41" t="s">
        <v>9307</v>
      </c>
      <c r="B3598" s="25" t="s">
        <v>10492</v>
      </c>
      <c r="C3598" s="19" t="s">
        <v>10493</v>
      </c>
      <c r="D3598" s="42" t="str">
        <f>HYPERLINK("https://rmda.kulib.kyoto-u.ac.jp/item/rb00002938?page=165")</f>
        <v>https://rmda.kulib.kyoto-u.ac.jp/item/rb00002938?page=165</v>
      </c>
      <c r="E3598" s="22"/>
      <c r="F3598" s="22"/>
      <c r="G3598" s="22"/>
    </row>
    <row r="3599" spans="1:7" x14ac:dyDescent="0.15">
      <c r="A3599" s="41" t="s">
        <v>9307</v>
      </c>
      <c r="B3599" s="25" t="s">
        <v>10494</v>
      </c>
      <c r="C3599" s="19" t="s">
        <v>10495</v>
      </c>
      <c r="D3599" s="42" t="str">
        <f t="shared" ref="D3599:D3604" si="258">HYPERLINK("https://rmda.kulib.kyoto-u.ac.jp/item/rb00002938?page=166")</f>
        <v>https://rmda.kulib.kyoto-u.ac.jp/item/rb00002938?page=166</v>
      </c>
      <c r="E3599" s="22"/>
      <c r="F3599" s="22"/>
      <c r="G3599" s="22"/>
    </row>
    <row r="3600" spans="1:7" x14ac:dyDescent="0.15">
      <c r="A3600" s="41" t="s">
        <v>9307</v>
      </c>
      <c r="B3600" s="25" t="s">
        <v>10496</v>
      </c>
      <c r="C3600" s="19" t="s">
        <v>10497</v>
      </c>
      <c r="D3600" s="42" t="str">
        <f t="shared" si="258"/>
        <v>https://rmda.kulib.kyoto-u.ac.jp/item/rb00002938?page=166</v>
      </c>
      <c r="E3600" s="22"/>
      <c r="F3600" s="22"/>
      <c r="G3600" s="22"/>
    </row>
    <row r="3601" spans="1:7" x14ac:dyDescent="0.15">
      <c r="A3601" s="41" t="s">
        <v>9307</v>
      </c>
      <c r="B3601" s="25" t="s">
        <v>10498</v>
      </c>
      <c r="C3601" s="19" t="s">
        <v>10499</v>
      </c>
      <c r="D3601" s="42" t="str">
        <f t="shared" si="258"/>
        <v>https://rmda.kulib.kyoto-u.ac.jp/item/rb00002938?page=166</v>
      </c>
      <c r="E3601" s="22"/>
      <c r="F3601" s="22"/>
      <c r="G3601" s="22"/>
    </row>
    <row r="3602" spans="1:7" x14ac:dyDescent="0.15">
      <c r="A3602" s="41" t="s">
        <v>9307</v>
      </c>
      <c r="B3602" s="25" t="s">
        <v>10500</v>
      </c>
      <c r="C3602" s="19" t="s">
        <v>10501</v>
      </c>
      <c r="D3602" s="42" t="str">
        <f t="shared" si="258"/>
        <v>https://rmda.kulib.kyoto-u.ac.jp/item/rb00002938?page=166</v>
      </c>
      <c r="E3602" s="22"/>
      <c r="F3602" s="22"/>
      <c r="G3602" s="22"/>
    </row>
    <row r="3603" spans="1:7" x14ac:dyDescent="0.15">
      <c r="A3603" s="41" t="s">
        <v>9307</v>
      </c>
      <c r="B3603" s="25" t="s">
        <v>10502</v>
      </c>
      <c r="C3603" s="19" t="s">
        <v>10503</v>
      </c>
      <c r="D3603" s="42" t="str">
        <f t="shared" si="258"/>
        <v>https://rmda.kulib.kyoto-u.ac.jp/item/rb00002938?page=166</v>
      </c>
      <c r="E3603" s="22"/>
      <c r="F3603" s="22"/>
      <c r="G3603" s="22"/>
    </row>
    <row r="3604" spans="1:7" x14ac:dyDescent="0.15">
      <c r="A3604" s="41" t="s">
        <v>9307</v>
      </c>
      <c r="B3604" s="25" t="s">
        <v>10504</v>
      </c>
      <c r="C3604" s="19" t="s">
        <v>10505</v>
      </c>
      <c r="D3604" s="42" t="str">
        <f t="shared" si="258"/>
        <v>https://rmda.kulib.kyoto-u.ac.jp/item/rb00002938?page=166</v>
      </c>
      <c r="E3604" s="22"/>
      <c r="F3604" s="22"/>
      <c r="G3604" s="22"/>
    </row>
    <row r="3605" spans="1:7" x14ac:dyDescent="0.15">
      <c r="A3605" s="41" t="s">
        <v>9307</v>
      </c>
      <c r="B3605" s="25" t="s">
        <v>10506</v>
      </c>
      <c r="C3605" s="19" t="s">
        <v>10507</v>
      </c>
      <c r="D3605" s="42" t="str">
        <f t="shared" ref="D3605:D3611" si="259">HYPERLINK("https://rmda.kulib.kyoto-u.ac.jp/item/rb00002938?page=167")</f>
        <v>https://rmda.kulib.kyoto-u.ac.jp/item/rb00002938?page=167</v>
      </c>
      <c r="E3605" s="22"/>
      <c r="F3605" s="22"/>
      <c r="G3605" s="22"/>
    </row>
    <row r="3606" spans="1:7" x14ac:dyDescent="0.15">
      <c r="A3606" s="41" t="s">
        <v>9307</v>
      </c>
      <c r="B3606" s="25" t="s">
        <v>10508</v>
      </c>
      <c r="C3606" s="19" t="s">
        <v>10509</v>
      </c>
      <c r="D3606" s="42" t="str">
        <f t="shared" si="259"/>
        <v>https://rmda.kulib.kyoto-u.ac.jp/item/rb00002938?page=167</v>
      </c>
      <c r="E3606" s="22"/>
      <c r="F3606" s="22"/>
      <c r="G3606" s="22"/>
    </row>
    <row r="3607" spans="1:7" x14ac:dyDescent="0.15">
      <c r="A3607" s="41" t="s">
        <v>9307</v>
      </c>
      <c r="B3607" s="25" t="s">
        <v>10510</v>
      </c>
      <c r="C3607" s="19" t="s">
        <v>10511</v>
      </c>
      <c r="D3607" s="42" t="str">
        <f t="shared" si="259"/>
        <v>https://rmda.kulib.kyoto-u.ac.jp/item/rb00002938?page=167</v>
      </c>
      <c r="E3607" s="22"/>
      <c r="F3607" s="22"/>
      <c r="G3607" s="22"/>
    </row>
    <row r="3608" spans="1:7" x14ac:dyDescent="0.15">
      <c r="A3608" s="41" t="s">
        <v>9307</v>
      </c>
      <c r="B3608" s="25" t="s">
        <v>10512</v>
      </c>
      <c r="C3608" s="19" t="s">
        <v>10513</v>
      </c>
      <c r="D3608" s="42" t="str">
        <f t="shared" si="259"/>
        <v>https://rmda.kulib.kyoto-u.ac.jp/item/rb00002938?page=167</v>
      </c>
      <c r="E3608" s="22"/>
      <c r="F3608" s="22"/>
      <c r="G3608" s="22"/>
    </row>
    <row r="3609" spans="1:7" x14ac:dyDescent="0.15">
      <c r="A3609" s="41" t="s">
        <v>9307</v>
      </c>
      <c r="B3609" s="25" t="s">
        <v>10514</v>
      </c>
      <c r="C3609" s="19" t="s">
        <v>10515</v>
      </c>
      <c r="D3609" s="42" t="str">
        <f t="shared" si="259"/>
        <v>https://rmda.kulib.kyoto-u.ac.jp/item/rb00002938?page=167</v>
      </c>
      <c r="E3609" s="22"/>
      <c r="F3609" s="22"/>
      <c r="G3609" s="22"/>
    </row>
    <row r="3610" spans="1:7" x14ac:dyDescent="0.15">
      <c r="A3610" s="41" t="s">
        <v>9307</v>
      </c>
      <c r="B3610" s="25" t="s">
        <v>10516</v>
      </c>
      <c r="C3610" s="19" t="s">
        <v>10517</v>
      </c>
      <c r="D3610" s="42" t="str">
        <f t="shared" si="259"/>
        <v>https://rmda.kulib.kyoto-u.ac.jp/item/rb00002938?page=167</v>
      </c>
      <c r="E3610" s="22"/>
      <c r="F3610" s="22"/>
      <c r="G3610" s="22"/>
    </row>
    <row r="3611" spans="1:7" x14ac:dyDescent="0.15">
      <c r="A3611" s="41" t="s">
        <v>9307</v>
      </c>
      <c r="B3611" s="25" t="s">
        <v>10518</v>
      </c>
      <c r="C3611" s="19" t="s">
        <v>10519</v>
      </c>
      <c r="D3611" s="42" t="str">
        <f t="shared" si="259"/>
        <v>https://rmda.kulib.kyoto-u.ac.jp/item/rb00002938?page=167</v>
      </c>
      <c r="E3611" s="22"/>
      <c r="F3611" s="22"/>
      <c r="G3611" s="22"/>
    </row>
    <row r="3612" spans="1:7" x14ac:dyDescent="0.15">
      <c r="A3612" s="41" t="s">
        <v>9307</v>
      </c>
      <c r="B3612" s="25" t="s">
        <v>10520</v>
      </c>
      <c r="C3612" s="19" t="s">
        <v>10521</v>
      </c>
      <c r="D3612" s="42" t="str">
        <f>HYPERLINK("https://rmda.kulib.kyoto-u.ac.jp/item/rb00002938?page=168")</f>
        <v>https://rmda.kulib.kyoto-u.ac.jp/item/rb00002938?page=168</v>
      </c>
      <c r="E3612" s="22"/>
      <c r="F3612" s="22"/>
      <c r="G3612" s="22"/>
    </row>
    <row r="3613" spans="1:7" x14ac:dyDescent="0.15">
      <c r="A3613" s="41" t="s">
        <v>9307</v>
      </c>
      <c r="B3613" s="25" t="s">
        <v>10522</v>
      </c>
      <c r="C3613" s="19" t="s">
        <v>10523</v>
      </c>
      <c r="D3613" s="42" t="str">
        <f>HYPERLINK("https://rmda.kulib.kyoto-u.ac.jp/item/rb00002938?page=168")</f>
        <v>https://rmda.kulib.kyoto-u.ac.jp/item/rb00002938?page=168</v>
      </c>
      <c r="E3613" s="22"/>
      <c r="F3613" s="22"/>
      <c r="G3613" s="22"/>
    </row>
    <row r="3614" spans="1:7" x14ac:dyDescent="0.15">
      <c r="A3614" s="41" t="s">
        <v>9307</v>
      </c>
      <c r="B3614" s="25" t="s">
        <v>10524</v>
      </c>
      <c r="C3614" s="19" t="s">
        <v>10525</v>
      </c>
      <c r="D3614" s="42" t="str">
        <f>HYPERLINK("https://rmda.kulib.kyoto-u.ac.jp/item/rb00002938?page=168")</f>
        <v>https://rmda.kulib.kyoto-u.ac.jp/item/rb00002938?page=168</v>
      </c>
      <c r="E3614" s="22"/>
      <c r="F3614" s="22"/>
      <c r="G3614" s="22"/>
    </row>
    <row r="3615" spans="1:7" x14ac:dyDescent="0.15">
      <c r="A3615" s="41" t="s">
        <v>9307</v>
      </c>
      <c r="B3615" s="25" t="s">
        <v>10526</v>
      </c>
      <c r="C3615" s="19" t="s">
        <v>10527</v>
      </c>
      <c r="D3615" s="42" t="str">
        <f>HYPERLINK("https://rmda.kulib.kyoto-u.ac.jp/item/rb00002938?page=168")</f>
        <v>https://rmda.kulib.kyoto-u.ac.jp/item/rb00002938?page=168</v>
      </c>
      <c r="E3615" s="22"/>
      <c r="F3615" s="22"/>
      <c r="G3615" s="22"/>
    </row>
    <row r="3616" spans="1:7" x14ac:dyDescent="0.15">
      <c r="A3616" s="41" t="s">
        <v>9307</v>
      </c>
      <c r="B3616" s="25" t="s">
        <v>10528</v>
      </c>
      <c r="C3616" s="19" t="s">
        <v>10529</v>
      </c>
      <c r="D3616" s="42" t="str">
        <f>HYPERLINK("https://rmda.kulib.kyoto-u.ac.jp/item/rb00002938?page=168")</f>
        <v>https://rmda.kulib.kyoto-u.ac.jp/item/rb00002938?page=168</v>
      </c>
      <c r="E3616" s="22"/>
      <c r="F3616" s="22"/>
      <c r="G3616" s="22"/>
    </row>
    <row r="3617" spans="1:7" x14ac:dyDescent="0.15">
      <c r="A3617" s="41" t="s">
        <v>9307</v>
      </c>
      <c r="B3617" s="25" t="s">
        <v>10530</v>
      </c>
      <c r="C3617" s="19" t="s">
        <v>10531</v>
      </c>
      <c r="D3617" s="42" t="str">
        <f t="shared" ref="D3617:D3624" si="260">HYPERLINK("https://rmda.kulib.kyoto-u.ac.jp/item/rb00002938?page=169")</f>
        <v>https://rmda.kulib.kyoto-u.ac.jp/item/rb00002938?page=169</v>
      </c>
      <c r="E3617" s="22"/>
      <c r="F3617" s="22"/>
      <c r="G3617" s="22"/>
    </row>
    <row r="3618" spans="1:7" x14ac:dyDescent="0.15">
      <c r="A3618" s="41" t="s">
        <v>9307</v>
      </c>
      <c r="B3618" s="25" t="s">
        <v>10532</v>
      </c>
      <c r="C3618" s="19" t="s">
        <v>10533</v>
      </c>
      <c r="D3618" s="42" t="str">
        <f t="shared" si="260"/>
        <v>https://rmda.kulib.kyoto-u.ac.jp/item/rb00002938?page=169</v>
      </c>
      <c r="E3618" s="22"/>
      <c r="F3618" s="22"/>
      <c r="G3618" s="22"/>
    </row>
    <row r="3619" spans="1:7" x14ac:dyDescent="0.15">
      <c r="A3619" s="41" t="s">
        <v>9307</v>
      </c>
      <c r="B3619" s="25" t="s">
        <v>10534</v>
      </c>
      <c r="C3619" s="19" t="s">
        <v>10535</v>
      </c>
      <c r="D3619" s="42" t="str">
        <f t="shared" si="260"/>
        <v>https://rmda.kulib.kyoto-u.ac.jp/item/rb00002938?page=169</v>
      </c>
      <c r="E3619" s="22"/>
      <c r="F3619" s="22"/>
      <c r="G3619" s="22"/>
    </row>
    <row r="3620" spans="1:7" x14ac:dyDescent="0.15">
      <c r="A3620" s="41" t="s">
        <v>9307</v>
      </c>
      <c r="B3620" s="25" t="s">
        <v>10536</v>
      </c>
      <c r="C3620" s="19" t="s">
        <v>10537</v>
      </c>
      <c r="D3620" s="42" t="str">
        <f t="shared" si="260"/>
        <v>https://rmda.kulib.kyoto-u.ac.jp/item/rb00002938?page=169</v>
      </c>
      <c r="E3620" s="22"/>
      <c r="F3620" s="22"/>
      <c r="G3620" s="22"/>
    </row>
    <row r="3621" spans="1:7" x14ac:dyDescent="0.15">
      <c r="A3621" s="41" t="s">
        <v>9307</v>
      </c>
      <c r="B3621" s="25" t="s">
        <v>10538</v>
      </c>
      <c r="C3621" s="19" t="s">
        <v>10539</v>
      </c>
      <c r="D3621" s="42" t="str">
        <f t="shared" si="260"/>
        <v>https://rmda.kulib.kyoto-u.ac.jp/item/rb00002938?page=169</v>
      </c>
      <c r="E3621" s="22"/>
      <c r="F3621" s="22"/>
      <c r="G3621" s="22"/>
    </row>
    <row r="3622" spans="1:7" x14ac:dyDescent="0.15">
      <c r="A3622" s="41" t="s">
        <v>9307</v>
      </c>
      <c r="B3622" s="25" t="s">
        <v>10540</v>
      </c>
      <c r="C3622" s="19" t="s">
        <v>10541</v>
      </c>
      <c r="D3622" s="42" t="str">
        <f t="shared" si="260"/>
        <v>https://rmda.kulib.kyoto-u.ac.jp/item/rb00002938?page=169</v>
      </c>
      <c r="E3622" s="22"/>
      <c r="F3622" s="22"/>
      <c r="G3622" s="22"/>
    </row>
    <row r="3623" spans="1:7" x14ac:dyDescent="0.15">
      <c r="A3623" s="41" t="s">
        <v>9307</v>
      </c>
      <c r="B3623" s="25" t="s">
        <v>10542</v>
      </c>
      <c r="C3623" s="19" t="s">
        <v>10543</v>
      </c>
      <c r="D3623" s="42" t="str">
        <f t="shared" si="260"/>
        <v>https://rmda.kulib.kyoto-u.ac.jp/item/rb00002938?page=169</v>
      </c>
      <c r="E3623" s="22"/>
      <c r="F3623" s="22"/>
      <c r="G3623" s="22"/>
    </row>
    <row r="3624" spans="1:7" x14ac:dyDescent="0.15">
      <c r="A3624" s="41" t="s">
        <v>9307</v>
      </c>
      <c r="B3624" s="25" t="s">
        <v>10544</v>
      </c>
      <c r="C3624" s="19" t="s">
        <v>10545</v>
      </c>
      <c r="D3624" s="42" t="str">
        <f t="shared" si="260"/>
        <v>https://rmda.kulib.kyoto-u.ac.jp/item/rb00002938?page=169</v>
      </c>
      <c r="E3624" s="22"/>
      <c r="F3624" s="22"/>
      <c r="G3624" s="22"/>
    </row>
    <row r="3625" spans="1:7" x14ac:dyDescent="0.15">
      <c r="A3625" s="41" t="s">
        <v>9307</v>
      </c>
      <c r="B3625" s="25" t="s">
        <v>10546</v>
      </c>
      <c r="C3625" s="19" t="s">
        <v>10547</v>
      </c>
      <c r="D3625" s="42" t="str">
        <f>HYPERLINK("https://rmda.kulib.kyoto-u.ac.jp/item/rb00002938?page=170")</f>
        <v>https://rmda.kulib.kyoto-u.ac.jp/item/rb00002938?page=170</v>
      </c>
      <c r="E3625" s="22"/>
      <c r="F3625" s="22"/>
      <c r="G3625" s="22"/>
    </row>
    <row r="3626" spans="1:7" x14ac:dyDescent="0.15">
      <c r="A3626" s="41" t="s">
        <v>9307</v>
      </c>
      <c r="B3626" s="25" t="s">
        <v>10548</v>
      </c>
      <c r="C3626" s="19" t="s">
        <v>10549</v>
      </c>
      <c r="D3626" s="42" t="str">
        <f>HYPERLINK("https://rmda.kulib.kyoto-u.ac.jp/item/rb00002938?page=170")</f>
        <v>https://rmda.kulib.kyoto-u.ac.jp/item/rb00002938?page=170</v>
      </c>
      <c r="E3626" s="22"/>
      <c r="F3626" s="22"/>
      <c r="G3626" s="22"/>
    </row>
    <row r="3627" spans="1:7" x14ac:dyDescent="0.15">
      <c r="A3627" s="41" t="s">
        <v>9307</v>
      </c>
      <c r="B3627" s="25" t="s">
        <v>10550</v>
      </c>
      <c r="C3627" s="19" t="s">
        <v>10551</v>
      </c>
      <c r="D3627" s="42" t="str">
        <f>HYPERLINK("https://rmda.kulib.kyoto-u.ac.jp/item/rb00002938?page=170")</f>
        <v>https://rmda.kulib.kyoto-u.ac.jp/item/rb00002938?page=170</v>
      </c>
      <c r="E3627" s="22"/>
      <c r="F3627" s="22"/>
      <c r="G3627" s="22"/>
    </row>
    <row r="3628" spans="1:7" x14ac:dyDescent="0.15">
      <c r="A3628" s="41" t="s">
        <v>9307</v>
      </c>
      <c r="B3628" s="25" t="s">
        <v>10552</v>
      </c>
      <c r="C3628" s="19" t="s">
        <v>10553</v>
      </c>
      <c r="D3628" s="42" t="str">
        <f>HYPERLINK("https://rmda.kulib.kyoto-u.ac.jp/item/rb00002938?page=170")</f>
        <v>https://rmda.kulib.kyoto-u.ac.jp/item/rb00002938?page=170</v>
      </c>
      <c r="E3628" s="22"/>
      <c r="F3628" s="22"/>
      <c r="G3628" s="22"/>
    </row>
    <row r="3629" spans="1:7" x14ac:dyDescent="0.15">
      <c r="A3629" s="41" t="s">
        <v>9307</v>
      </c>
      <c r="B3629" s="25" t="s">
        <v>10554</v>
      </c>
      <c r="C3629" s="19" t="s">
        <v>10555</v>
      </c>
      <c r="D3629" s="42" t="str">
        <f>HYPERLINK("https://rmda.kulib.kyoto-u.ac.jp/item/rb00002938?page=171")</f>
        <v>https://rmda.kulib.kyoto-u.ac.jp/item/rb00002938?page=171</v>
      </c>
      <c r="E3629" s="22"/>
      <c r="F3629" s="22"/>
      <c r="G3629" s="22"/>
    </row>
    <row r="3630" spans="1:7" x14ac:dyDescent="0.15">
      <c r="A3630" s="41" t="s">
        <v>9307</v>
      </c>
      <c r="B3630" s="25" t="s">
        <v>10556</v>
      </c>
      <c r="C3630" s="19" t="s">
        <v>10557</v>
      </c>
      <c r="D3630" s="42" t="str">
        <f>HYPERLINK("https://rmda.kulib.kyoto-u.ac.jp/item/rb00002938?page=171")</f>
        <v>https://rmda.kulib.kyoto-u.ac.jp/item/rb00002938?page=171</v>
      </c>
      <c r="E3630" s="22"/>
      <c r="F3630" s="22"/>
      <c r="G3630" s="22"/>
    </row>
    <row r="3631" spans="1:7" x14ac:dyDescent="0.15">
      <c r="A3631" s="41" t="s">
        <v>9307</v>
      </c>
      <c r="B3631" s="25" t="s">
        <v>10558</v>
      </c>
      <c r="C3631" s="19" t="s">
        <v>10559</v>
      </c>
      <c r="D3631" s="42" t="str">
        <f>HYPERLINK("https://rmda.kulib.kyoto-u.ac.jp/item/rb00002938?page=171")</f>
        <v>https://rmda.kulib.kyoto-u.ac.jp/item/rb00002938?page=171</v>
      </c>
      <c r="E3631" s="22"/>
      <c r="F3631" s="22"/>
      <c r="G3631" s="22"/>
    </row>
    <row r="3632" spans="1:7" x14ac:dyDescent="0.15">
      <c r="A3632" s="41" t="s">
        <v>9307</v>
      </c>
      <c r="B3632" s="25" t="s">
        <v>10560</v>
      </c>
      <c r="C3632" s="19" t="s">
        <v>10561</v>
      </c>
      <c r="D3632" s="42" t="str">
        <f>HYPERLINK("https://rmda.kulib.kyoto-u.ac.jp/item/rb00002938?page=171")</f>
        <v>https://rmda.kulib.kyoto-u.ac.jp/item/rb00002938?page=171</v>
      </c>
      <c r="E3632" s="22"/>
      <c r="F3632" s="22"/>
      <c r="G3632" s="22"/>
    </row>
    <row r="3633" spans="1:7" x14ac:dyDescent="0.15">
      <c r="A3633" s="41" t="s">
        <v>9307</v>
      </c>
      <c r="B3633" s="25" t="s">
        <v>10562</v>
      </c>
      <c r="C3633" s="19" t="s">
        <v>10563</v>
      </c>
      <c r="D3633" s="42" t="str">
        <f>HYPERLINK("https://rmda.kulib.kyoto-u.ac.jp/item/rb00002938?page=171")</f>
        <v>https://rmda.kulib.kyoto-u.ac.jp/item/rb00002938?page=171</v>
      </c>
      <c r="E3633" s="22"/>
      <c r="F3633" s="22"/>
      <c r="G3633" s="22"/>
    </row>
    <row r="3634" spans="1:7" x14ac:dyDescent="0.15">
      <c r="A3634" s="41" t="s">
        <v>9307</v>
      </c>
      <c r="B3634" s="25" t="s">
        <v>6769</v>
      </c>
      <c r="C3634" s="19"/>
      <c r="D3634" s="42" t="str">
        <f>HYPERLINK("https://rmda.kulib.kyoto-u.ac.jp/item/rb00002938?page=174")</f>
        <v>https://rmda.kulib.kyoto-u.ac.jp/item/rb00002938?page=174</v>
      </c>
      <c r="E3634" s="22"/>
      <c r="F3634" s="22"/>
      <c r="G3634" s="22"/>
    </row>
    <row r="3635" spans="1:7" x14ac:dyDescent="0.15">
      <c r="A3635" s="41" t="s">
        <v>9307</v>
      </c>
      <c r="B3635" s="25" t="s">
        <v>10564</v>
      </c>
      <c r="C3635" s="19" t="s">
        <v>10565</v>
      </c>
      <c r="D3635" s="42" t="str">
        <f>HYPERLINK("https://rmda.kulib.kyoto-u.ac.jp/item/rb00002938?page=180")</f>
        <v>https://rmda.kulib.kyoto-u.ac.jp/item/rb00002938?page=180</v>
      </c>
      <c r="E3635" s="22"/>
      <c r="F3635" s="22"/>
      <c r="G3635" s="22"/>
    </row>
    <row r="3636" spans="1:7" x14ac:dyDescent="0.15">
      <c r="A3636" s="41" t="s">
        <v>9307</v>
      </c>
      <c r="B3636" s="25" t="s">
        <v>10566</v>
      </c>
      <c r="C3636" s="19" t="s">
        <v>10567</v>
      </c>
      <c r="D3636" s="42" t="str">
        <f>HYPERLINK("https://rmda.kulib.kyoto-u.ac.jp/item/rb00002938?page=180")</f>
        <v>https://rmda.kulib.kyoto-u.ac.jp/item/rb00002938?page=180</v>
      </c>
      <c r="E3636" s="22"/>
      <c r="F3636" s="22"/>
      <c r="G3636" s="22"/>
    </row>
    <row r="3637" spans="1:7" x14ac:dyDescent="0.15">
      <c r="A3637" s="41" t="s">
        <v>9307</v>
      </c>
      <c r="B3637" s="25" t="s">
        <v>10568</v>
      </c>
      <c r="C3637" s="19" t="s">
        <v>10569</v>
      </c>
      <c r="D3637" s="42" t="str">
        <f t="shared" ref="D3637:D3642" si="261">HYPERLINK("https://rmda.kulib.kyoto-u.ac.jp/item/rb00002938?page=181")</f>
        <v>https://rmda.kulib.kyoto-u.ac.jp/item/rb00002938?page=181</v>
      </c>
      <c r="E3637" s="22"/>
      <c r="F3637" s="22"/>
      <c r="G3637" s="22"/>
    </row>
    <row r="3638" spans="1:7" x14ac:dyDescent="0.15">
      <c r="A3638" s="41" t="s">
        <v>9307</v>
      </c>
      <c r="B3638" s="25" t="s">
        <v>10570</v>
      </c>
      <c r="C3638" s="19" t="s">
        <v>10571</v>
      </c>
      <c r="D3638" s="42" t="str">
        <f t="shared" si="261"/>
        <v>https://rmda.kulib.kyoto-u.ac.jp/item/rb00002938?page=181</v>
      </c>
      <c r="E3638" s="22"/>
      <c r="F3638" s="22"/>
      <c r="G3638" s="22"/>
    </row>
    <row r="3639" spans="1:7" x14ac:dyDescent="0.15">
      <c r="A3639" s="41" t="s">
        <v>9307</v>
      </c>
      <c r="B3639" s="25" t="s">
        <v>10572</v>
      </c>
      <c r="C3639" s="19" t="s">
        <v>10573</v>
      </c>
      <c r="D3639" s="42" t="str">
        <f t="shared" si="261"/>
        <v>https://rmda.kulib.kyoto-u.ac.jp/item/rb00002938?page=181</v>
      </c>
      <c r="E3639" s="22"/>
      <c r="F3639" s="22"/>
      <c r="G3639" s="22"/>
    </row>
    <row r="3640" spans="1:7" x14ac:dyDescent="0.15">
      <c r="A3640" s="41" t="s">
        <v>9307</v>
      </c>
      <c r="B3640" s="25" t="s">
        <v>10574</v>
      </c>
      <c r="C3640" s="19" t="s">
        <v>10575</v>
      </c>
      <c r="D3640" s="42" t="str">
        <f t="shared" si="261"/>
        <v>https://rmda.kulib.kyoto-u.ac.jp/item/rb00002938?page=181</v>
      </c>
      <c r="E3640" s="22"/>
      <c r="F3640" s="22"/>
      <c r="G3640" s="22"/>
    </row>
    <row r="3641" spans="1:7" x14ac:dyDescent="0.15">
      <c r="A3641" s="41" t="s">
        <v>9307</v>
      </c>
      <c r="B3641" s="25" t="s">
        <v>10576</v>
      </c>
      <c r="C3641" s="19" t="s">
        <v>10577</v>
      </c>
      <c r="D3641" s="42" t="str">
        <f t="shared" si="261"/>
        <v>https://rmda.kulib.kyoto-u.ac.jp/item/rb00002938?page=181</v>
      </c>
      <c r="E3641" s="22"/>
      <c r="F3641" s="22"/>
      <c r="G3641" s="22"/>
    </row>
    <row r="3642" spans="1:7" x14ac:dyDescent="0.15">
      <c r="A3642" s="41" t="s">
        <v>9307</v>
      </c>
      <c r="B3642" s="25" t="s">
        <v>10578</v>
      </c>
      <c r="C3642" s="19" t="s">
        <v>10579</v>
      </c>
      <c r="D3642" s="42" t="str">
        <f t="shared" si="261"/>
        <v>https://rmda.kulib.kyoto-u.ac.jp/item/rb00002938?page=181</v>
      </c>
      <c r="E3642" s="22"/>
      <c r="F3642" s="22"/>
      <c r="G3642" s="22"/>
    </row>
    <row r="3643" spans="1:7" x14ac:dyDescent="0.15">
      <c r="A3643" s="41" t="s">
        <v>9307</v>
      </c>
      <c r="B3643" s="25" t="s">
        <v>10580</v>
      </c>
      <c r="C3643" s="19" t="s">
        <v>10581</v>
      </c>
      <c r="D3643" s="42" t="str">
        <f>HYPERLINK("https://rmda.kulib.kyoto-u.ac.jp/item/rb00002938?page=182")</f>
        <v>https://rmda.kulib.kyoto-u.ac.jp/item/rb00002938?page=182</v>
      </c>
      <c r="E3643" s="22"/>
      <c r="F3643" s="22"/>
      <c r="G3643" s="22"/>
    </row>
    <row r="3644" spans="1:7" x14ac:dyDescent="0.15">
      <c r="A3644" s="41" t="s">
        <v>9307</v>
      </c>
      <c r="B3644" s="25" t="s">
        <v>10582</v>
      </c>
      <c r="C3644" s="19" t="s">
        <v>10583</v>
      </c>
      <c r="D3644" s="42" t="str">
        <f>HYPERLINK("https://rmda.kulib.kyoto-u.ac.jp/item/rb00002938?page=182")</f>
        <v>https://rmda.kulib.kyoto-u.ac.jp/item/rb00002938?page=182</v>
      </c>
      <c r="E3644" s="22"/>
      <c r="F3644" s="22"/>
      <c r="G3644" s="22"/>
    </row>
    <row r="3645" spans="1:7" x14ac:dyDescent="0.15">
      <c r="A3645" s="41" t="s">
        <v>9307</v>
      </c>
      <c r="B3645" s="25" t="s">
        <v>10584</v>
      </c>
      <c r="C3645" s="19" t="s">
        <v>10585</v>
      </c>
      <c r="D3645" s="42" t="str">
        <f>HYPERLINK("https://rmda.kulib.kyoto-u.ac.jp/item/rb00002938?page=182")</f>
        <v>https://rmda.kulib.kyoto-u.ac.jp/item/rb00002938?page=182</v>
      </c>
      <c r="E3645" s="22"/>
      <c r="F3645" s="22"/>
      <c r="G3645" s="22"/>
    </row>
    <row r="3646" spans="1:7" x14ac:dyDescent="0.15">
      <c r="A3646" s="41" t="s">
        <v>9307</v>
      </c>
      <c r="B3646" s="25" t="s">
        <v>10586</v>
      </c>
      <c r="C3646" s="19" t="s">
        <v>10587</v>
      </c>
      <c r="D3646" s="42" t="str">
        <f>HYPERLINK("https://rmda.kulib.kyoto-u.ac.jp/item/rb00002938?page=182")</f>
        <v>https://rmda.kulib.kyoto-u.ac.jp/item/rb00002938?page=182</v>
      </c>
      <c r="E3646" s="22"/>
      <c r="F3646" s="22"/>
      <c r="G3646" s="22"/>
    </row>
    <row r="3647" spans="1:7" x14ac:dyDescent="0.15">
      <c r="A3647" s="41" t="s">
        <v>9307</v>
      </c>
      <c r="B3647" s="25" t="s">
        <v>10588</v>
      </c>
      <c r="C3647" s="19" t="s">
        <v>10589</v>
      </c>
      <c r="D3647" s="42" t="str">
        <f>HYPERLINK("https://rmda.kulib.kyoto-u.ac.jp/item/rb00002938?page=183")</f>
        <v>https://rmda.kulib.kyoto-u.ac.jp/item/rb00002938?page=183</v>
      </c>
      <c r="E3647" s="22"/>
      <c r="F3647" s="22"/>
      <c r="G3647" s="22"/>
    </row>
    <row r="3648" spans="1:7" x14ac:dyDescent="0.15">
      <c r="A3648" s="41" t="s">
        <v>9307</v>
      </c>
      <c r="B3648" s="25" t="s">
        <v>10590</v>
      </c>
      <c r="C3648" s="19" t="s">
        <v>10591</v>
      </c>
      <c r="D3648" s="42" t="str">
        <f>HYPERLINK("https://rmda.kulib.kyoto-u.ac.jp/item/rb00002938?page=184")</f>
        <v>https://rmda.kulib.kyoto-u.ac.jp/item/rb00002938?page=184</v>
      </c>
      <c r="E3648" s="22"/>
      <c r="F3648" s="22"/>
      <c r="G3648" s="22"/>
    </row>
    <row r="3649" spans="1:7" x14ac:dyDescent="0.15">
      <c r="A3649" s="41" t="s">
        <v>9307</v>
      </c>
      <c r="B3649" s="25" t="s">
        <v>10592</v>
      </c>
      <c r="C3649" s="19" t="s">
        <v>10593</v>
      </c>
      <c r="D3649" s="42" t="str">
        <f>HYPERLINK("https://rmda.kulib.kyoto-u.ac.jp/item/rb00002938?page=184")</f>
        <v>https://rmda.kulib.kyoto-u.ac.jp/item/rb00002938?page=184</v>
      </c>
      <c r="E3649" s="22"/>
      <c r="F3649" s="22"/>
      <c r="G3649" s="22"/>
    </row>
    <row r="3650" spans="1:7" x14ac:dyDescent="0.15">
      <c r="A3650" s="41" t="s">
        <v>9307</v>
      </c>
      <c r="B3650" s="25" t="s">
        <v>10594</v>
      </c>
      <c r="C3650" s="19" t="s">
        <v>10595</v>
      </c>
      <c r="D3650" s="42" t="str">
        <f>HYPERLINK("https://rmda.kulib.kyoto-u.ac.jp/item/rb00002938?page=184")</f>
        <v>https://rmda.kulib.kyoto-u.ac.jp/item/rb00002938?page=184</v>
      </c>
      <c r="E3650" s="22"/>
      <c r="F3650" s="22"/>
      <c r="G3650" s="22"/>
    </row>
    <row r="3651" spans="1:7" x14ac:dyDescent="0.15">
      <c r="A3651" s="41" t="s">
        <v>9307</v>
      </c>
      <c r="B3651" s="25" t="s">
        <v>10596</v>
      </c>
      <c r="C3651" s="19" t="s">
        <v>10597</v>
      </c>
      <c r="D3651" s="42" t="str">
        <f>HYPERLINK("https://rmda.kulib.kyoto-u.ac.jp/item/rb00002938?page=185")</f>
        <v>https://rmda.kulib.kyoto-u.ac.jp/item/rb00002938?page=185</v>
      </c>
      <c r="E3651" s="22"/>
      <c r="F3651" s="22"/>
      <c r="G3651" s="22"/>
    </row>
    <row r="3652" spans="1:7" x14ac:dyDescent="0.15">
      <c r="A3652" s="41" t="s">
        <v>9307</v>
      </c>
      <c r="B3652" s="25" t="s">
        <v>10598</v>
      </c>
      <c r="C3652" s="19" t="s">
        <v>10599</v>
      </c>
      <c r="D3652" s="42" t="str">
        <f>HYPERLINK("https://rmda.kulib.kyoto-u.ac.jp/item/rb00002938?page=185")</f>
        <v>https://rmda.kulib.kyoto-u.ac.jp/item/rb00002938?page=185</v>
      </c>
      <c r="E3652" s="22"/>
      <c r="F3652" s="22"/>
      <c r="G3652" s="22"/>
    </row>
    <row r="3653" spans="1:7" x14ac:dyDescent="0.15">
      <c r="A3653" s="41" t="s">
        <v>9307</v>
      </c>
      <c r="B3653" s="25" t="s">
        <v>10600</v>
      </c>
      <c r="C3653" s="19" t="s">
        <v>10601</v>
      </c>
      <c r="D3653" s="42" t="str">
        <f>HYPERLINK("https://rmda.kulib.kyoto-u.ac.jp/item/rb00002938?page=185")</f>
        <v>https://rmda.kulib.kyoto-u.ac.jp/item/rb00002938?page=185</v>
      </c>
      <c r="E3653" s="22"/>
      <c r="F3653" s="22"/>
      <c r="G3653" s="22"/>
    </row>
    <row r="3654" spans="1:7" x14ac:dyDescent="0.15">
      <c r="A3654" s="41" t="s">
        <v>9307</v>
      </c>
      <c r="B3654" s="25" t="s">
        <v>10602</v>
      </c>
      <c r="C3654" s="19" t="s">
        <v>10603</v>
      </c>
      <c r="D3654" s="42" t="str">
        <f>HYPERLINK("https://rmda.kulib.kyoto-u.ac.jp/item/rb00002938?page=185")</f>
        <v>https://rmda.kulib.kyoto-u.ac.jp/item/rb00002938?page=185</v>
      </c>
      <c r="E3654" s="22"/>
      <c r="F3654" s="22"/>
      <c r="G3654" s="22"/>
    </row>
    <row r="3655" spans="1:7" x14ac:dyDescent="0.15">
      <c r="A3655" s="41" t="s">
        <v>9307</v>
      </c>
      <c r="B3655" s="25" t="s">
        <v>10604</v>
      </c>
      <c r="C3655" s="19" t="s">
        <v>10605</v>
      </c>
      <c r="D3655" s="42" t="str">
        <f t="shared" ref="D3655:D3661" si="262">HYPERLINK("https://rmda.kulib.kyoto-u.ac.jp/item/rb00002938?page=186")</f>
        <v>https://rmda.kulib.kyoto-u.ac.jp/item/rb00002938?page=186</v>
      </c>
      <c r="E3655" s="22"/>
      <c r="F3655" s="22"/>
      <c r="G3655" s="22"/>
    </row>
    <row r="3656" spans="1:7" x14ac:dyDescent="0.15">
      <c r="A3656" s="41" t="s">
        <v>9307</v>
      </c>
      <c r="B3656" s="25" t="s">
        <v>10606</v>
      </c>
      <c r="C3656" s="19" t="s">
        <v>10607</v>
      </c>
      <c r="D3656" s="42" t="str">
        <f t="shared" si="262"/>
        <v>https://rmda.kulib.kyoto-u.ac.jp/item/rb00002938?page=186</v>
      </c>
      <c r="E3656" s="22"/>
      <c r="F3656" s="22"/>
      <c r="G3656" s="22"/>
    </row>
    <row r="3657" spans="1:7" x14ac:dyDescent="0.15">
      <c r="A3657" s="41" t="s">
        <v>9307</v>
      </c>
      <c r="B3657" s="25" t="s">
        <v>10608</v>
      </c>
      <c r="C3657" s="19" t="s">
        <v>10609</v>
      </c>
      <c r="D3657" s="42" t="str">
        <f t="shared" si="262"/>
        <v>https://rmda.kulib.kyoto-u.ac.jp/item/rb00002938?page=186</v>
      </c>
      <c r="E3657" s="22"/>
      <c r="F3657" s="22"/>
      <c r="G3657" s="22"/>
    </row>
    <row r="3658" spans="1:7" x14ac:dyDescent="0.15">
      <c r="A3658" s="41" t="s">
        <v>9307</v>
      </c>
      <c r="B3658" s="25" t="s">
        <v>10610</v>
      </c>
      <c r="C3658" s="19" t="s">
        <v>10611</v>
      </c>
      <c r="D3658" s="42" t="str">
        <f t="shared" si="262"/>
        <v>https://rmda.kulib.kyoto-u.ac.jp/item/rb00002938?page=186</v>
      </c>
      <c r="E3658" s="22"/>
      <c r="F3658" s="22"/>
      <c r="G3658" s="22"/>
    </row>
    <row r="3659" spans="1:7" x14ac:dyDescent="0.15">
      <c r="A3659" s="41" t="s">
        <v>9307</v>
      </c>
      <c r="B3659" s="25" t="s">
        <v>10612</v>
      </c>
      <c r="C3659" s="19" t="s">
        <v>10613</v>
      </c>
      <c r="D3659" s="42" t="str">
        <f t="shared" si="262"/>
        <v>https://rmda.kulib.kyoto-u.ac.jp/item/rb00002938?page=186</v>
      </c>
      <c r="E3659" s="22"/>
      <c r="F3659" s="22"/>
      <c r="G3659" s="22"/>
    </row>
    <row r="3660" spans="1:7" x14ac:dyDescent="0.15">
      <c r="A3660" s="41" t="s">
        <v>9307</v>
      </c>
      <c r="B3660" s="25" t="s">
        <v>10614</v>
      </c>
      <c r="C3660" s="19" t="s">
        <v>10615</v>
      </c>
      <c r="D3660" s="42" t="str">
        <f t="shared" si="262"/>
        <v>https://rmda.kulib.kyoto-u.ac.jp/item/rb00002938?page=186</v>
      </c>
      <c r="E3660" s="22"/>
      <c r="F3660" s="22"/>
      <c r="G3660" s="22"/>
    </row>
    <row r="3661" spans="1:7" x14ac:dyDescent="0.15">
      <c r="A3661" s="41" t="s">
        <v>9307</v>
      </c>
      <c r="B3661" s="25" t="s">
        <v>10616</v>
      </c>
      <c r="C3661" s="19" t="s">
        <v>10617</v>
      </c>
      <c r="D3661" s="42" t="str">
        <f t="shared" si="262"/>
        <v>https://rmda.kulib.kyoto-u.ac.jp/item/rb00002938?page=186</v>
      </c>
      <c r="E3661" s="22"/>
      <c r="F3661" s="22"/>
      <c r="G3661" s="22"/>
    </row>
    <row r="3662" spans="1:7" x14ac:dyDescent="0.15">
      <c r="A3662" s="41" t="s">
        <v>9307</v>
      </c>
      <c r="B3662" s="25" t="s">
        <v>10618</v>
      </c>
      <c r="C3662" s="19" t="s">
        <v>10619</v>
      </c>
      <c r="D3662" s="42" t="str">
        <f t="shared" ref="D3662:D3669" si="263">HYPERLINK("https://rmda.kulib.kyoto-u.ac.jp/item/rb00002938?page=187")</f>
        <v>https://rmda.kulib.kyoto-u.ac.jp/item/rb00002938?page=187</v>
      </c>
      <c r="E3662" s="22"/>
      <c r="F3662" s="22"/>
      <c r="G3662" s="22"/>
    </row>
    <row r="3663" spans="1:7" x14ac:dyDescent="0.15">
      <c r="A3663" s="41" t="s">
        <v>9307</v>
      </c>
      <c r="B3663" s="25" t="s">
        <v>10620</v>
      </c>
      <c r="C3663" s="19" t="s">
        <v>10621</v>
      </c>
      <c r="D3663" s="42" t="str">
        <f t="shared" si="263"/>
        <v>https://rmda.kulib.kyoto-u.ac.jp/item/rb00002938?page=187</v>
      </c>
      <c r="E3663" s="22"/>
      <c r="F3663" s="22"/>
      <c r="G3663" s="22"/>
    </row>
    <row r="3664" spans="1:7" x14ac:dyDescent="0.15">
      <c r="A3664" s="41" t="s">
        <v>9307</v>
      </c>
      <c r="B3664" s="25" t="s">
        <v>10622</v>
      </c>
      <c r="C3664" s="19" t="s">
        <v>10623</v>
      </c>
      <c r="D3664" s="42" t="str">
        <f t="shared" si="263"/>
        <v>https://rmda.kulib.kyoto-u.ac.jp/item/rb00002938?page=187</v>
      </c>
      <c r="E3664" s="22"/>
      <c r="F3664" s="22"/>
      <c r="G3664" s="22"/>
    </row>
    <row r="3665" spans="1:7" x14ac:dyDescent="0.15">
      <c r="A3665" s="41" t="s">
        <v>9307</v>
      </c>
      <c r="B3665" s="25" t="s">
        <v>10624</v>
      </c>
      <c r="C3665" s="19" t="s">
        <v>10625</v>
      </c>
      <c r="D3665" s="42" t="str">
        <f t="shared" si="263"/>
        <v>https://rmda.kulib.kyoto-u.ac.jp/item/rb00002938?page=187</v>
      </c>
      <c r="E3665" s="22"/>
      <c r="F3665" s="22"/>
      <c r="G3665" s="22"/>
    </row>
    <row r="3666" spans="1:7" x14ac:dyDescent="0.15">
      <c r="A3666" s="41" t="s">
        <v>9307</v>
      </c>
      <c r="B3666" s="25" t="s">
        <v>10626</v>
      </c>
      <c r="C3666" s="19" t="s">
        <v>10627</v>
      </c>
      <c r="D3666" s="42" t="str">
        <f t="shared" si="263"/>
        <v>https://rmda.kulib.kyoto-u.ac.jp/item/rb00002938?page=187</v>
      </c>
      <c r="E3666" s="22"/>
      <c r="F3666" s="22"/>
      <c r="G3666" s="22"/>
    </row>
    <row r="3667" spans="1:7" x14ac:dyDescent="0.15">
      <c r="A3667" s="41" t="s">
        <v>9307</v>
      </c>
      <c r="B3667" s="25" t="s">
        <v>10628</v>
      </c>
      <c r="C3667" s="19" t="s">
        <v>10629</v>
      </c>
      <c r="D3667" s="42" t="str">
        <f t="shared" si="263"/>
        <v>https://rmda.kulib.kyoto-u.ac.jp/item/rb00002938?page=187</v>
      </c>
      <c r="E3667" s="22"/>
      <c r="F3667" s="22"/>
      <c r="G3667" s="22"/>
    </row>
    <row r="3668" spans="1:7" x14ac:dyDescent="0.15">
      <c r="A3668" s="41" t="s">
        <v>9307</v>
      </c>
      <c r="B3668" s="25" t="s">
        <v>10630</v>
      </c>
      <c r="C3668" s="19" t="s">
        <v>10631</v>
      </c>
      <c r="D3668" s="42" t="str">
        <f t="shared" si="263"/>
        <v>https://rmda.kulib.kyoto-u.ac.jp/item/rb00002938?page=187</v>
      </c>
      <c r="E3668" s="22"/>
      <c r="F3668" s="22"/>
      <c r="G3668" s="22"/>
    </row>
    <row r="3669" spans="1:7" x14ac:dyDescent="0.15">
      <c r="A3669" s="41" t="s">
        <v>9307</v>
      </c>
      <c r="B3669" s="25" t="s">
        <v>10632</v>
      </c>
      <c r="C3669" s="19" t="s">
        <v>10633</v>
      </c>
      <c r="D3669" s="42" t="str">
        <f t="shared" si="263"/>
        <v>https://rmda.kulib.kyoto-u.ac.jp/item/rb00002938?page=187</v>
      </c>
      <c r="E3669" s="22"/>
      <c r="F3669" s="22"/>
      <c r="G3669" s="22"/>
    </row>
    <row r="3670" spans="1:7" x14ac:dyDescent="0.15">
      <c r="A3670" s="41" t="s">
        <v>9307</v>
      </c>
      <c r="B3670" s="25" t="s">
        <v>10634</v>
      </c>
      <c r="C3670" s="19" t="s">
        <v>10635</v>
      </c>
      <c r="D3670" s="42" t="str">
        <f>HYPERLINK("https://rmda.kulib.kyoto-u.ac.jp/item/rb00002938?page=188")</f>
        <v>https://rmda.kulib.kyoto-u.ac.jp/item/rb00002938?page=188</v>
      </c>
      <c r="E3670" s="22"/>
      <c r="F3670" s="22"/>
      <c r="G3670" s="22"/>
    </row>
    <row r="3671" spans="1:7" x14ac:dyDescent="0.15">
      <c r="A3671" s="41" t="s">
        <v>9307</v>
      </c>
      <c r="B3671" s="25" t="s">
        <v>10636</v>
      </c>
      <c r="C3671" s="19" t="s">
        <v>10637</v>
      </c>
      <c r="D3671" s="42" t="str">
        <f>HYPERLINK("https://rmda.kulib.kyoto-u.ac.jp/item/rb00002938?page=188")</f>
        <v>https://rmda.kulib.kyoto-u.ac.jp/item/rb00002938?page=188</v>
      </c>
      <c r="E3671" s="22"/>
      <c r="F3671" s="22"/>
      <c r="G3671" s="22"/>
    </row>
    <row r="3672" spans="1:7" x14ac:dyDescent="0.15">
      <c r="A3672" s="41" t="s">
        <v>9307</v>
      </c>
      <c r="B3672" s="25" t="s">
        <v>10638</v>
      </c>
      <c r="C3672" s="19" t="s">
        <v>10639</v>
      </c>
      <c r="D3672" s="42" t="str">
        <f>HYPERLINK("https://rmda.kulib.kyoto-u.ac.jp/item/rb00002938?page=188")</f>
        <v>https://rmda.kulib.kyoto-u.ac.jp/item/rb00002938?page=188</v>
      </c>
      <c r="E3672" s="22"/>
      <c r="F3672" s="22"/>
      <c r="G3672" s="22"/>
    </row>
    <row r="3673" spans="1:7" x14ac:dyDescent="0.15">
      <c r="A3673" s="41" t="s">
        <v>9307</v>
      </c>
      <c r="B3673" s="25" t="s">
        <v>10640</v>
      </c>
      <c r="C3673" s="19" t="s">
        <v>10641</v>
      </c>
      <c r="D3673" s="42" t="str">
        <f>HYPERLINK("https://rmda.kulib.kyoto-u.ac.jp/item/rb00002938?page=189")</f>
        <v>https://rmda.kulib.kyoto-u.ac.jp/item/rb00002938?page=189</v>
      </c>
      <c r="E3673" s="22"/>
      <c r="F3673" s="22"/>
      <c r="G3673" s="22"/>
    </row>
    <row r="3674" spans="1:7" x14ac:dyDescent="0.15">
      <c r="A3674" s="41" t="s">
        <v>9307</v>
      </c>
      <c r="B3674" s="25" t="s">
        <v>10642</v>
      </c>
      <c r="C3674" s="19" t="s">
        <v>10643</v>
      </c>
      <c r="D3674" s="42" t="str">
        <f>HYPERLINK("https://rmda.kulib.kyoto-u.ac.jp/item/rb00002938?page=189")</f>
        <v>https://rmda.kulib.kyoto-u.ac.jp/item/rb00002938?page=189</v>
      </c>
      <c r="E3674" s="22"/>
      <c r="F3674" s="22"/>
      <c r="G3674" s="22"/>
    </row>
    <row r="3675" spans="1:7" x14ac:dyDescent="0.15">
      <c r="A3675" s="41" t="s">
        <v>9307</v>
      </c>
      <c r="B3675" s="25" t="s">
        <v>10644</v>
      </c>
      <c r="C3675" s="19" t="s">
        <v>10645</v>
      </c>
      <c r="D3675" s="42" t="str">
        <f>HYPERLINK("https://rmda.kulib.kyoto-u.ac.jp/item/rb00002938?page=189")</f>
        <v>https://rmda.kulib.kyoto-u.ac.jp/item/rb00002938?page=189</v>
      </c>
      <c r="E3675" s="22"/>
      <c r="F3675" s="22"/>
      <c r="G3675" s="22"/>
    </row>
    <row r="3676" spans="1:7" x14ac:dyDescent="0.15">
      <c r="A3676" s="41" t="s">
        <v>9307</v>
      </c>
      <c r="B3676" s="25" t="s">
        <v>10646</v>
      </c>
      <c r="C3676" s="19" t="s">
        <v>10647</v>
      </c>
      <c r="D3676" s="42" t="str">
        <f>HYPERLINK("https://rmda.kulib.kyoto-u.ac.jp/item/rb00002938?page=189")</f>
        <v>https://rmda.kulib.kyoto-u.ac.jp/item/rb00002938?page=189</v>
      </c>
      <c r="E3676" s="22"/>
      <c r="F3676" s="22"/>
      <c r="G3676" s="22"/>
    </row>
    <row r="3677" spans="1:7" x14ac:dyDescent="0.15">
      <c r="A3677" s="41" t="s">
        <v>9307</v>
      </c>
      <c r="B3677" s="25" t="s">
        <v>10648</v>
      </c>
      <c r="C3677" s="19" t="s">
        <v>10649</v>
      </c>
      <c r="D3677" s="42" t="str">
        <f>HYPERLINK("https://rmda.kulib.kyoto-u.ac.jp/item/rb00002938?page=190")</f>
        <v>https://rmda.kulib.kyoto-u.ac.jp/item/rb00002938?page=190</v>
      </c>
      <c r="E3677" s="22"/>
      <c r="F3677" s="22"/>
      <c r="G3677" s="22"/>
    </row>
    <row r="3678" spans="1:7" x14ac:dyDescent="0.15">
      <c r="A3678" s="41" t="s">
        <v>9307</v>
      </c>
      <c r="B3678" s="25" t="s">
        <v>10650</v>
      </c>
      <c r="C3678" s="19" t="s">
        <v>10651</v>
      </c>
      <c r="D3678" s="42" t="str">
        <f>HYPERLINK("https://rmda.kulib.kyoto-u.ac.jp/item/rb00002938?page=190")</f>
        <v>https://rmda.kulib.kyoto-u.ac.jp/item/rb00002938?page=190</v>
      </c>
      <c r="E3678" s="22"/>
      <c r="F3678" s="22"/>
      <c r="G3678" s="22"/>
    </row>
    <row r="3679" spans="1:7" x14ac:dyDescent="0.15">
      <c r="A3679" s="41" t="s">
        <v>9307</v>
      </c>
      <c r="B3679" s="25" t="s">
        <v>10652</v>
      </c>
      <c r="C3679" s="19" t="s">
        <v>10653</v>
      </c>
      <c r="D3679" s="42" t="str">
        <f>HYPERLINK("https://rmda.kulib.kyoto-u.ac.jp/item/rb00002938?page=190")</f>
        <v>https://rmda.kulib.kyoto-u.ac.jp/item/rb00002938?page=190</v>
      </c>
      <c r="E3679" s="22"/>
      <c r="F3679" s="22"/>
      <c r="G3679" s="22"/>
    </row>
    <row r="3680" spans="1:7" x14ac:dyDescent="0.15">
      <c r="A3680" s="41" t="s">
        <v>9307</v>
      </c>
      <c r="B3680" s="25" t="s">
        <v>10654</v>
      </c>
      <c r="C3680" s="19" t="s">
        <v>10655</v>
      </c>
      <c r="D3680" s="42" t="str">
        <f>HYPERLINK("https://rmda.kulib.kyoto-u.ac.jp/item/rb00002938?page=190")</f>
        <v>https://rmda.kulib.kyoto-u.ac.jp/item/rb00002938?page=190</v>
      </c>
      <c r="E3680" s="22"/>
      <c r="F3680" s="22"/>
      <c r="G3680" s="22"/>
    </row>
    <row r="3681" spans="1:7" x14ac:dyDescent="0.15">
      <c r="A3681" s="41" t="s">
        <v>9307</v>
      </c>
      <c r="B3681" s="25" t="s">
        <v>10656</v>
      </c>
      <c r="C3681" s="19" t="s">
        <v>10657</v>
      </c>
      <c r="D3681" s="42" t="str">
        <f>HYPERLINK("https://rmda.kulib.kyoto-u.ac.jp/item/rb00002938?page=190")</f>
        <v>https://rmda.kulib.kyoto-u.ac.jp/item/rb00002938?page=190</v>
      </c>
      <c r="E3681" s="22"/>
      <c r="F3681" s="22"/>
      <c r="G3681" s="22"/>
    </row>
    <row r="3682" spans="1:7" x14ac:dyDescent="0.15">
      <c r="A3682" s="41" t="s">
        <v>9307</v>
      </c>
      <c r="B3682" s="25" t="s">
        <v>10658</v>
      </c>
      <c r="C3682" s="19" t="s">
        <v>10659</v>
      </c>
      <c r="D3682" s="42" t="str">
        <f t="shared" ref="D3682:D3687" si="264">HYPERLINK("https://rmda.kulib.kyoto-u.ac.jp/item/rb00002938?page=191")</f>
        <v>https://rmda.kulib.kyoto-u.ac.jp/item/rb00002938?page=191</v>
      </c>
      <c r="E3682" s="22"/>
      <c r="F3682" s="22"/>
      <c r="G3682" s="22"/>
    </row>
    <row r="3683" spans="1:7" x14ac:dyDescent="0.15">
      <c r="A3683" s="41" t="s">
        <v>9307</v>
      </c>
      <c r="B3683" s="25" t="s">
        <v>10660</v>
      </c>
      <c r="C3683" s="19" t="s">
        <v>10661</v>
      </c>
      <c r="D3683" s="42" t="str">
        <f t="shared" si="264"/>
        <v>https://rmda.kulib.kyoto-u.ac.jp/item/rb00002938?page=191</v>
      </c>
      <c r="E3683" s="22"/>
      <c r="F3683" s="22"/>
      <c r="G3683" s="22"/>
    </row>
    <row r="3684" spans="1:7" x14ac:dyDescent="0.15">
      <c r="A3684" s="41" t="s">
        <v>9307</v>
      </c>
      <c r="B3684" s="25" t="s">
        <v>10662</v>
      </c>
      <c r="C3684" s="19" t="s">
        <v>10663</v>
      </c>
      <c r="D3684" s="42" t="str">
        <f t="shared" si="264"/>
        <v>https://rmda.kulib.kyoto-u.ac.jp/item/rb00002938?page=191</v>
      </c>
      <c r="E3684" s="22"/>
      <c r="F3684" s="22"/>
      <c r="G3684" s="22"/>
    </row>
    <row r="3685" spans="1:7" x14ac:dyDescent="0.15">
      <c r="A3685" s="41" t="s">
        <v>9307</v>
      </c>
      <c r="B3685" s="25" t="s">
        <v>10664</v>
      </c>
      <c r="C3685" s="19" t="s">
        <v>10665</v>
      </c>
      <c r="D3685" s="42" t="str">
        <f t="shared" si="264"/>
        <v>https://rmda.kulib.kyoto-u.ac.jp/item/rb00002938?page=191</v>
      </c>
      <c r="E3685" s="22"/>
      <c r="F3685" s="22"/>
      <c r="G3685" s="22"/>
    </row>
    <row r="3686" spans="1:7" x14ac:dyDescent="0.15">
      <c r="A3686" s="41" t="s">
        <v>9307</v>
      </c>
      <c r="B3686" s="25" t="s">
        <v>10666</v>
      </c>
      <c r="C3686" s="19" t="s">
        <v>10667</v>
      </c>
      <c r="D3686" s="42" t="str">
        <f t="shared" si="264"/>
        <v>https://rmda.kulib.kyoto-u.ac.jp/item/rb00002938?page=191</v>
      </c>
      <c r="E3686" s="22"/>
      <c r="F3686" s="22"/>
      <c r="G3686" s="22"/>
    </row>
    <row r="3687" spans="1:7" x14ac:dyDescent="0.15">
      <c r="A3687" s="41" t="s">
        <v>9307</v>
      </c>
      <c r="B3687" s="25" t="s">
        <v>10668</v>
      </c>
      <c r="C3687" s="19" t="s">
        <v>10669</v>
      </c>
      <c r="D3687" s="42" t="str">
        <f t="shared" si="264"/>
        <v>https://rmda.kulib.kyoto-u.ac.jp/item/rb00002938?page=191</v>
      </c>
      <c r="E3687" s="22"/>
      <c r="F3687" s="22"/>
      <c r="G3687" s="22"/>
    </row>
    <row r="3688" spans="1:7" x14ac:dyDescent="0.15">
      <c r="A3688" s="41" t="s">
        <v>9307</v>
      </c>
      <c r="B3688" s="25" t="s">
        <v>10670</v>
      </c>
      <c r="C3688" s="19" t="s">
        <v>10671</v>
      </c>
      <c r="D3688" s="42" t="str">
        <f>HYPERLINK("https://rmda.kulib.kyoto-u.ac.jp/item/rb00002938?page=192")</f>
        <v>https://rmda.kulib.kyoto-u.ac.jp/item/rb00002938?page=192</v>
      </c>
      <c r="E3688" s="22"/>
      <c r="F3688" s="22"/>
      <c r="G3688" s="22"/>
    </row>
    <row r="3689" spans="1:7" x14ac:dyDescent="0.15">
      <c r="A3689" s="41" t="s">
        <v>9307</v>
      </c>
      <c r="B3689" s="25" t="s">
        <v>10672</v>
      </c>
      <c r="C3689" s="19" t="s">
        <v>10673</v>
      </c>
      <c r="D3689" s="42" t="str">
        <f>HYPERLINK("https://rmda.kulib.kyoto-u.ac.jp/item/rb00002938?page=192")</f>
        <v>https://rmda.kulib.kyoto-u.ac.jp/item/rb00002938?page=192</v>
      </c>
      <c r="E3689" s="22"/>
      <c r="F3689" s="22"/>
      <c r="G3689" s="22"/>
    </row>
    <row r="3690" spans="1:7" x14ac:dyDescent="0.15">
      <c r="A3690" s="41" t="s">
        <v>9307</v>
      </c>
      <c r="B3690" s="25" t="s">
        <v>10674</v>
      </c>
      <c r="C3690" s="19" t="s">
        <v>10675</v>
      </c>
      <c r="D3690" s="42" t="str">
        <f>HYPERLINK("https://rmda.kulib.kyoto-u.ac.jp/item/rb00002938?page=192")</f>
        <v>https://rmda.kulib.kyoto-u.ac.jp/item/rb00002938?page=192</v>
      </c>
      <c r="E3690" s="22"/>
      <c r="F3690" s="22"/>
      <c r="G3690" s="22"/>
    </row>
    <row r="3691" spans="1:7" x14ac:dyDescent="0.15">
      <c r="A3691" s="41" t="s">
        <v>9307</v>
      </c>
      <c r="B3691" s="25" t="s">
        <v>10676</v>
      </c>
      <c r="C3691" s="19" t="s">
        <v>10677</v>
      </c>
      <c r="D3691" s="42" t="str">
        <f>HYPERLINK("https://rmda.kulib.kyoto-u.ac.jp/item/rb00002938?page=192")</f>
        <v>https://rmda.kulib.kyoto-u.ac.jp/item/rb00002938?page=192</v>
      </c>
      <c r="E3691" s="22"/>
      <c r="F3691" s="22"/>
      <c r="G3691" s="22"/>
    </row>
    <row r="3692" spans="1:7" x14ac:dyDescent="0.15">
      <c r="A3692" s="41" t="s">
        <v>9307</v>
      </c>
      <c r="B3692" s="25" t="s">
        <v>10678</v>
      </c>
      <c r="C3692" s="19" t="s">
        <v>10679</v>
      </c>
      <c r="D3692" s="42" t="str">
        <f>HYPERLINK("https://rmda.kulib.kyoto-u.ac.jp/item/rb00002938?page=193")</f>
        <v>https://rmda.kulib.kyoto-u.ac.jp/item/rb00002938?page=193</v>
      </c>
      <c r="E3692" s="22"/>
      <c r="F3692" s="22"/>
      <c r="G3692" s="22"/>
    </row>
    <row r="3693" spans="1:7" x14ac:dyDescent="0.15">
      <c r="A3693" s="41" t="s">
        <v>9307</v>
      </c>
      <c r="B3693" s="25" t="s">
        <v>10680</v>
      </c>
      <c r="C3693" s="19" t="s">
        <v>10681</v>
      </c>
      <c r="D3693" s="42" t="str">
        <f>HYPERLINK("https://rmda.kulib.kyoto-u.ac.jp/item/rb00002938?page=193")</f>
        <v>https://rmda.kulib.kyoto-u.ac.jp/item/rb00002938?page=193</v>
      </c>
      <c r="E3693" s="22"/>
      <c r="F3693" s="22"/>
      <c r="G3693" s="22"/>
    </row>
    <row r="3694" spans="1:7" x14ac:dyDescent="0.15">
      <c r="A3694" s="41" t="s">
        <v>9307</v>
      </c>
      <c r="B3694" s="25" t="s">
        <v>10682</v>
      </c>
      <c r="C3694" s="19" t="s">
        <v>10683</v>
      </c>
      <c r="D3694" s="42" t="str">
        <f>HYPERLINK("https://rmda.kulib.kyoto-u.ac.jp/item/rb00002938?page=193")</f>
        <v>https://rmda.kulib.kyoto-u.ac.jp/item/rb00002938?page=193</v>
      </c>
      <c r="E3694" s="22"/>
      <c r="F3694" s="22"/>
      <c r="G3694" s="22"/>
    </row>
    <row r="3695" spans="1:7" x14ac:dyDescent="0.15">
      <c r="A3695" s="41" t="s">
        <v>9307</v>
      </c>
      <c r="B3695" s="25" t="s">
        <v>10684</v>
      </c>
      <c r="C3695" s="19" t="s">
        <v>10685</v>
      </c>
      <c r="D3695" s="42" t="str">
        <f>HYPERLINK("https://rmda.kulib.kyoto-u.ac.jp/item/rb00002938?page=195")</f>
        <v>https://rmda.kulib.kyoto-u.ac.jp/item/rb00002938?page=195</v>
      </c>
      <c r="E3695" s="22"/>
      <c r="F3695" s="22"/>
      <c r="G3695" s="22"/>
    </row>
    <row r="3696" spans="1:7" x14ac:dyDescent="0.15">
      <c r="A3696" s="41" t="s">
        <v>9307</v>
      </c>
      <c r="B3696" s="25" t="s">
        <v>10686</v>
      </c>
      <c r="C3696" s="19" t="s">
        <v>10687</v>
      </c>
      <c r="D3696" s="42" t="str">
        <f>HYPERLINK("https://rmda.kulib.kyoto-u.ac.jp/item/rb00002938?page=195")</f>
        <v>https://rmda.kulib.kyoto-u.ac.jp/item/rb00002938?page=195</v>
      </c>
      <c r="E3696" s="22"/>
      <c r="F3696" s="22"/>
      <c r="G3696" s="22"/>
    </row>
    <row r="3697" spans="1:7" x14ac:dyDescent="0.15">
      <c r="A3697" s="41" t="s">
        <v>9307</v>
      </c>
      <c r="B3697" s="25" t="s">
        <v>10688</v>
      </c>
      <c r="C3697" s="19" t="s">
        <v>10689</v>
      </c>
      <c r="D3697" s="42" t="str">
        <f>HYPERLINK("https://rmda.kulib.kyoto-u.ac.jp/item/rb00002938?page=195")</f>
        <v>https://rmda.kulib.kyoto-u.ac.jp/item/rb00002938?page=195</v>
      </c>
      <c r="E3697" s="22"/>
      <c r="F3697" s="22"/>
      <c r="G3697" s="22"/>
    </row>
    <row r="3698" spans="1:7" x14ac:dyDescent="0.15">
      <c r="A3698" s="41" t="s">
        <v>9307</v>
      </c>
      <c r="B3698" s="25" t="s">
        <v>10690</v>
      </c>
      <c r="C3698" s="19" t="s">
        <v>10691</v>
      </c>
      <c r="D3698" s="42" t="str">
        <f>HYPERLINK("https://rmda.kulib.kyoto-u.ac.jp/item/rb00002938?page=196")</f>
        <v>https://rmda.kulib.kyoto-u.ac.jp/item/rb00002938?page=196</v>
      </c>
      <c r="E3698" s="22"/>
      <c r="F3698" s="22"/>
      <c r="G3698" s="22"/>
    </row>
    <row r="3699" spans="1:7" x14ac:dyDescent="0.15">
      <c r="A3699" s="41" t="s">
        <v>9307</v>
      </c>
      <c r="B3699" s="25" t="s">
        <v>10692</v>
      </c>
      <c r="C3699" s="19" t="s">
        <v>10693</v>
      </c>
      <c r="D3699" s="42" t="str">
        <f>HYPERLINK("https://rmda.kulib.kyoto-u.ac.jp/item/rb00002938?page=196")</f>
        <v>https://rmda.kulib.kyoto-u.ac.jp/item/rb00002938?page=196</v>
      </c>
      <c r="E3699" s="22"/>
      <c r="F3699" s="22"/>
      <c r="G3699" s="22"/>
    </row>
    <row r="3700" spans="1:7" x14ac:dyDescent="0.15">
      <c r="A3700" s="41" t="s">
        <v>9307</v>
      </c>
      <c r="B3700" s="25" t="s">
        <v>10694</v>
      </c>
      <c r="C3700" s="19" t="s">
        <v>10695</v>
      </c>
      <c r="D3700" s="42" t="str">
        <f>HYPERLINK("https://rmda.kulib.kyoto-u.ac.jp/item/rb00002938?page=196")</f>
        <v>https://rmda.kulib.kyoto-u.ac.jp/item/rb00002938?page=196</v>
      </c>
      <c r="E3700" s="22"/>
      <c r="F3700" s="22"/>
      <c r="G3700" s="22"/>
    </row>
    <row r="3701" spans="1:7" x14ac:dyDescent="0.15">
      <c r="A3701" s="41" t="s">
        <v>9307</v>
      </c>
      <c r="B3701" s="25" t="s">
        <v>10696</v>
      </c>
      <c r="C3701" s="19" t="s">
        <v>10697</v>
      </c>
      <c r="D3701" s="42" t="str">
        <f>HYPERLINK("https://rmda.kulib.kyoto-u.ac.jp/item/rb00002938?page=196")</f>
        <v>https://rmda.kulib.kyoto-u.ac.jp/item/rb00002938?page=196</v>
      </c>
      <c r="E3701" s="22"/>
      <c r="F3701" s="22"/>
      <c r="G3701" s="22"/>
    </row>
    <row r="3702" spans="1:7" x14ac:dyDescent="0.15">
      <c r="A3702" s="41" t="s">
        <v>9307</v>
      </c>
      <c r="B3702" s="25" t="s">
        <v>10698</v>
      </c>
      <c r="C3702" s="19" t="s">
        <v>10699</v>
      </c>
      <c r="D3702" s="42" t="str">
        <f>HYPERLINK("https://rmda.kulib.kyoto-u.ac.jp/item/rb00002938?page=197")</f>
        <v>https://rmda.kulib.kyoto-u.ac.jp/item/rb00002938?page=197</v>
      </c>
      <c r="E3702" s="22"/>
      <c r="F3702" s="22"/>
      <c r="G3702" s="22"/>
    </row>
    <row r="3703" spans="1:7" x14ac:dyDescent="0.15">
      <c r="A3703" s="41" t="s">
        <v>9307</v>
      </c>
      <c r="B3703" s="25" t="s">
        <v>10700</v>
      </c>
      <c r="C3703" s="19" t="s">
        <v>10701</v>
      </c>
      <c r="D3703" s="42" t="str">
        <f>HYPERLINK("https://rmda.kulib.kyoto-u.ac.jp/item/rb00002938?page=197")</f>
        <v>https://rmda.kulib.kyoto-u.ac.jp/item/rb00002938?page=197</v>
      </c>
      <c r="E3703" s="22"/>
      <c r="F3703" s="22"/>
      <c r="G3703" s="22"/>
    </row>
    <row r="3704" spans="1:7" x14ac:dyDescent="0.15">
      <c r="A3704" s="41" t="s">
        <v>9307</v>
      </c>
      <c r="B3704" s="25" t="s">
        <v>10702</v>
      </c>
      <c r="C3704" s="19" t="s">
        <v>10703</v>
      </c>
      <c r="D3704" s="42" t="str">
        <f>HYPERLINK("https://rmda.kulib.kyoto-u.ac.jp/item/rb00002938?page=197")</f>
        <v>https://rmda.kulib.kyoto-u.ac.jp/item/rb00002938?page=197</v>
      </c>
      <c r="E3704" s="22"/>
      <c r="F3704" s="22"/>
      <c r="G3704" s="22"/>
    </row>
    <row r="3705" spans="1:7" x14ac:dyDescent="0.15">
      <c r="A3705" s="41" t="s">
        <v>9307</v>
      </c>
      <c r="B3705" s="25" t="s">
        <v>10704</v>
      </c>
      <c r="C3705" s="19" t="s">
        <v>10705</v>
      </c>
      <c r="D3705" s="42" t="str">
        <f>HYPERLINK("https://rmda.kulib.kyoto-u.ac.jp/item/rb00002938?page=197")</f>
        <v>https://rmda.kulib.kyoto-u.ac.jp/item/rb00002938?page=197</v>
      </c>
      <c r="E3705" s="22"/>
      <c r="F3705" s="22"/>
      <c r="G3705" s="22"/>
    </row>
    <row r="3706" spans="1:7" x14ac:dyDescent="0.15">
      <c r="A3706" s="41" t="s">
        <v>9307</v>
      </c>
      <c r="B3706" s="25" t="s">
        <v>10706</v>
      </c>
      <c r="C3706" s="19" t="s">
        <v>10707</v>
      </c>
      <c r="D3706" s="42" t="str">
        <f>HYPERLINK("https://rmda.kulib.kyoto-u.ac.jp/item/rb00002938?page=198")</f>
        <v>https://rmda.kulib.kyoto-u.ac.jp/item/rb00002938?page=198</v>
      </c>
      <c r="E3706" s="22"/>
      <c r="F3706" s="22"/>
      <c r="G3706" s="22"/>
    </row>
    <row r="3707" spans="1:7" x14ac:dyDescent="0.15">
      <c r="A3707" s="41" t="s">
        <v>9307</v>
      </c>
      <c r="B3707" s="25" t="s">
        <v>10708</v>
      </c>
      <c r="C3707" s="19" t="s">
        <v>10709</v>
      </c>
      <c r="D3707" s="42" t="str">
        <f>HYPERLINK("https://rmda.kulib.kyoto-u.ac.jp/item/rb00002938?page=198")</f>
        <v>https://rmda.kulib.kyoto-u.ac.jp/item/rb00002938?page=198</v>
      </c>
      <c r="E3707" s="22"/>
      <c r="F3707" s="22"/>
      <c r="G3707" s="22"/>
    </row>
    <row r="3708" spans="1:7" x14ac:dyDescent="0.15">
      <c r="A3708" s="41" t="s">
        <v>9307</v>
      </c>
      <c r="B3708" s="25" t="s">
        <v>10710</v>
      </c>
      <c r="C3708" s="19" t="s">
        <v>10711</v>
      </c>
      <c r="D3708" s="42" t="str">
        <f>HYPERLINK("https://rmda.kulib.kyoto-u.ac.jp/item/rb00002938?page=198")</f>
        <v>https://rmda.kulib.kyoto-u.ac.jp/item/rb00002938?page=198</v>
      </c>
      <c r="E3708" s="22"/>
      <c r="F3708" s="22"/>
      <c r="G3708" s="22"/>
    </row>
    <row r="3709" spans="1:7" x14ac:dyDescent="0.15">
      <c r="A3709" s="41" t="s">
        <v>9307</v>
      </c>
      <c r="B3709" s="25" t="s">
        <v>10712</v>
      </c>
      <c r="C3709" s="19" t="s">
        <v>10713</v>
      </c>
      <c r="D3709" s="42" t="str">
        <f>HYPERLINK("https://rmda.kulib.kyoto-u.ac.jp/item/rb00002938?page=198")</f>
        <v>https://rmda.kulib.kyoto-u.ac.jp/item/rb00002938?page=198</v>
      </c>
      <c r="E3709" s="22"/>
      <c r="F3709" s="22"/>
      <c r="G3709" s="22"/>
    </row>
    <row r="3710" spans="1:7" x14ac:dyDescent="0.15">
      <c r="A3710" s="41" t="s">
        <v>9307</v>
      </c>
      <c r="B3710" s="25" t="s">
        <v>10714</v>
      </c>
      <c r="C3710" s="19" t="s">
        <v>10715</v>
      </c>
      <c r="D3710" s="42" t="str">
        <f>HYPERLINK("https://rmda.kulib.kyoto-u.ac.jp/item/rb00002938?page=198")</f>
        <v>https://rmda.kulib.kyoto-u.ac.jp/item/rb00002938?page=198</v>
      </c>
      <c r="E3710" s="22"/>
      <c r="F3710" s="22"/>
      <c r="G3710" s="22"/>
    </row>
    <row r="3711" spans="1:7" x14ac:dyDescent="0.15">
      <c r="A3711" s="41" t="s">
        <v>9307</v>
      </c>
      <c r="B3711" s="25" t="s">
        <v>10716</v>
      </c>
      <c r="C3711" s="19" t="s">
        <v>10717</v>
      </c>
      <c r="D3711" s="42" t="str">
        <f>HYPERLINK("https://rmda.kulib.kyoto-u.ac.jp/item/rb00002938?page=199")</f>
        <v>https://rmda.kulib.kyoto-u.ac.jp/item/rb00002938?page=199</v>
      </c>
      <c r="E3711" s="22"/>
      <c r="F3711" s="22"/>
      <c r="G3711" s="22"/>
    </row>
    <row r="3712" spans="1:7" x14ac:dyDescent="0.15">
      <c r="A3712" s="41" t="s">
        <v>9307</v>
      </c>
      <c r="B3712" s="25" t="s">
        <v>10718</v>
      </c>
      <c r="C3712" s="19" t="s">
        <v>10719</v>
      </c>
      <c r="D3712" s="42" t="str">
        <f>HYPERLINK("https://rmda.kulib.kyoto-u.ac.jp/item/rb00002938?page=199")</f>
        <v>https://rmda.kulib.kyoto-u.ac.jp/item/rb00002938?page=199</v>
      </c>
      <c r="E3712" s="22"/>
      <c r="F3712" s="22"/>
      <c r="G3712" s="22"/>
    </row>
    <row r="3713" spans="1:7" x14ac:dyDescent="0.15">
      <c r="A3713" s="41" t="s">
        <v>9307</v>
      </c>
      <c r="B3713" s="25" t="s">
        <v>10720</v>
      </c>
      <c r="C3713" s="19" t="s">
        <v>10721</v>
      </c>
      <c r="D3713" s="42" t="str">
        <f>HYPERLINK("https://rmda.kulib.kyoto-u.ac.jp/item/rb00002938?page=199")</f>
        <v>https://rmda.kulib.kyoto-u.ac.jp/item/rb00002938?page=199</v>
      </c>
      <c r="E3713" s="22"/>
      <c r="F3713" s="22"/>
      <c r="G3713" s="22"/>
    </row>
    <row r="3714" spans="1:7" x14ac:dyDescent="0.15">
      <c r="A3714" s="41" t="s">
        <v>9307</v>
      </c>
      <c r="B3714" s="25" t="s">
        <v>10722</v>
      </c>
      <c r="C3714" s="19" t="s">
        <v>10723</v>
      </c>
      <c r="D3714" s="42" t="str">
        <f>HYPERLINK("https://rmda.kulib.kyoto-u.ac.jp/item/rb00002938?page=199")</f>
        <v>https://rmda.kulib.kyoto-u.ac.jp/item/rb00002938?page=199</v>
      </c>
      <c r="E3714" s="22"/>
      <c r="F3714" s="22"/>
      <c r="G3714" s="22"/>
    </row>
    <row r="3715" spans="1:7" x14ac:dyDescent="0.15">
      <c r="A3715" s="41" t="s">
        <v>9307</v>
      </c>
      <c r="B3715" s="25" t="s">
        <v>10724</v>
      </c>
      <c r="C3715" s="19" t="s">
        <v>10725</v>
      </c>
      <c r="D3715" s="42" t="str">
        <f>HYPERLINK("https://rmda.kulib.kyoto-u.ac.jp/item/rb00002938?page=199")</f>
        <v>https://rmda.kulib.kyoto-u.ac.jp/item/rb00002938?page=199</v>
      </c>
      <c r="E3715" s="22"/>
      <c r="F3715" s="22"/>
      <c r="G3715" s="22"/>
    </row>
    <row r="3716" spans="1:7" x14ac:dyDescent="0.15">
      <c r="A3716" s="41" t="s">
        <v>9307</v>
      </c>
      <c r="B3716" s="25" t="s">
        <v>10726</v>
      </c>
      <c r="C3716" s="19" t="s">
        <v>10727</v>
      </c>
      <c r="D3716" s="42" t="str">
        <f>HYPERLINK("https://rmda.kulib.kyoto-u.ac.jp/item/rb00002938?page=200")</f>
        <v>https://rmda.kulib.kyoto-u.ac.jp/item/rb00002938?page=200</v>
      </c>
      <c r="E3716" s="22"/>
      <c r="F3716" s="22"/>
      <c r="G3716" s="22"/>
    </row>
    <row r="3717" spans="1:7" x14ac:dyDescent="0.15">
      <c r="A3717" s="41" t="s">
        <v>9307</v>
      </c>
      <c r="B3717" s="25" t="s">
        <v>10728</v>
      </c>
      <c r="C3717" s="19" t="s">
        <v>10729</v>
      </c>
      <c r="D3717" s="42" t="str">
        <f>HYPERLINK("https://rmda.kulib.kyoto-u.ac.jp/item/rb00002938?page=200")</f>
        <v>https://rmda.kulib.kyoto-u.ac.jp/item/rb00002938?page=200</v>
      </c>
      <c r="E3717" s="22"/>
      <c r="F3717" s="22"/>
      <c r="G3717" s="22"/>
    </row>
    <row r="3718" spans="1:7" x14ac:dyDescent="0.15">
      <c r="A3718" s="41" t="s">
        <v>9307</v>
      </c>
      <c r="B3718" s="25" t="s">
        <v>10730</v>
      </c>
      <c r="C3718" s="19" t="s">
        <v>10731</v>
      </c>
      <c r="D3718" s="42" t="str">
        <f>HYPERLINK("https://rmda.kulib.kyoto-u.ac.jp/item/rb00002938?page=200")</f>
        <v>https://rmda.kulib.kyoto-u.ac.jp/item/rb00002938?page=200</v>
      </c>
      <c r="E3718" s="22"/>
      <c r="F3718" s="22"/>
      <c r="G3718" s="22"/>
    </row>
    <row r="3719" spans="1:7" x14ac:dyDescent="0.15">
      <c r="A3719" s="41" t="s">
        <v>9307</v>
      </c>
      <c r="B3719" s="25" t="s">
        <v>10732</v>
      </c>
      <c r="C3719" s="19" t="s">
        <v>10733</v>
      </c>
      <c r="D3719" s="42" t="str">
        <f>HYPERLINK("https://rmda.kulib.kyoto-u.ac.jp/item/rb00002938?page=200")</f>
        <v>https://rmda.kulib.kyoto-u.ac.jp/item/rb00002938?page=200</v>
      </c>
      <c r="E3719" s="22"/>
      <c r="F3719" s="22"/>
      <c r="G3719" s="22"/>
    </row>
    <row r="3720" spans="1:7" x14ac:dyDescent="0.15">
      <c r="A3720" s="41" t="s">
        <v>9307</v>
      </c>
      <c r="B3720" s="25" t="s">
        <v>10734</v>
      </c>
      <c r="C3720" s="19" t="s">
        <v>10735</v>
      </c>
      <c r="D3720" s="42" t="str">
        <f>HYPERLINK("https://rmda.kulib.kyoto-u.ac.jp/item/rb00002938?page=200")</f>
        <v>https://rmda.kulib.kyoto-u.ac.jp/item/rb00002938?page=200</v>
      </c>
      <c r="E3720" s="22"/>
      <c r="F3720" s="22"/>
      <c r="G3720" s="22"/>
    </row>
    <row r="3721" spans="1:7" x14ac:dyDescent="0.15">
      <c r="A3721" s="41" t="s">
        <v>9307</v>
      </c>
      <c r="B3721" s="25" t="s">
        <v>10736</v>
      </c>
      <c r="C3721" s="19" t="s">
        <v>10737</v>
      </c>
      <c r="D3721" s="42" t="str">
        <f>HYPERLINK("https://rmda.kulib.kyoto-u.ac.jp/item/rb00002938?page=201")</f>
        <v>https://rmda.kulib.kyoto-u.ac.jp/item/rb00002938?page=201</v>
      </c>
      <c r="E3721" s="22"/>
      <c r="F3721" s="22"/>
      <c r="G3721" s="22"/>
    </row>
    <row r="3722" spans="1:7" x14ac:dyDescent="0.15">
      <c r="A3722" s="41" t="s">
        <v>9307</v>
      </c>
      <c r="B3722" s="25" t="s">
        <v>10738</v>
      </c>
      <c r="C3722" s="19" t="s">
        <v>10739</v>
      </c>
      <c r="D3722" s="42" t="str">
        <f t="shared" ref="D3722:D3727" si="265">HYPERLINK("https://rmda.kulib.kyoto-u.ac.jp/item/rb00002938?page=203")</f>
        <v>https://rmda.kulib.kyoto-u.ac.jp/item/rb00002938?page=203</v>
      </c>
      <c r="E3722" s="22"/>
      <c r="F3722" s="22"/>
      <c r="G3722" s="22"/>
    </row>
    <row r="3723" spans="1:7" x14ac:dyDescent="0.15">
      <c r="A3723" s="41" t="s">
        <v>9307</v>
      </c>
      <c r="B3723" s="25" t="s">
        <v>10740</v>
      </c>
      <c r="C3723" s="19" t="s">
        <v>10741</v>
      </c>
      <c r="D3723" s="42" t="str">
        <f t="shared" si="265"/>
        <v>https://rmda.kulib.kyoto-u.ac.jp/item/rb00002938?page=203</v>
      </c>
      <c r="E3723" s="22"/>
      <c r="F3723" s="22"/>
      <c r="G3723" s="22"/>
    </row>
    <row r="3724" spans="1:7" x14ac:dyDescent="0.15">
      <c r="A3724" s="41" t="s">
        <v>9307</v>
      </c>
      <c r="B3724" s="25" t="s">
        <v>10742</v>
      </c>
      <c r="C3724" s="19" t="s">
        <v>10743</v>
      </c>
      <c r="D3724" s="42" t="str">
        <f t="shared" si="265"/>
        <v>https://rmda.kulib.kyoto-u.ac.jp/item/rb00002938?page=203</v>
      </c>
      <c r="E3724" s="22"/>
      <c r="F3724" s="22"/>
      <c r="G3724" s="22"/>
    </row>
    <row r="3725" spans="1:7" x14ac:dyDescent="0.15">
      <c r="A3725" s="41" t="s">
        <v>9307</v>
      </c>
      <c r="B3725" s="25" t="s">
        <v>10744</v>
      </c>
      <c r="C3725" s="19" t="s">
        <v>10745</v>
      </c>
      <c r="D3725" s="42" t="str">
        <f t="shared" si="265"/>
        <v>https://rmda.kulib.kyoto-u.ac.jp/item/rb00002938?page=203</v>
      </c>
      <c r="E3725" s="22"/>
      <c r="F3725" s="22"/>
      <c r="G3725" s="22"/>
    </row>
    <row r="3726" spans="1:7" x14ac:dyDescent="0.15">
      <c r="A3726" s="41" t="s">
        <v>9307</v>
      </c>
      <c r="B3726" s="25" t="s">
        <v>10746</v>
      </c>
      <c r="C3726" s="19" t="s">
        <v>10747</v>
      </c>
      <c r="D3726" s="42" t="str">
        <f t="shared" si="265"/>
        <v>https://rmda.kulib.kyoto-u.ac.jp/item/rb00002938?page=203</v>
      </c>
      <c r="E3726" s="22"/>
      <c r="F3726" s="22"/>
      <c r="G3726" s="22"/>
    </row>
    <row r="3727" spans="1:7" x14ac:dyDescent="0.15">
      <c r="A3727" s="41" t="s">
        <v>9307</v>
      </c>
      <c r="B3727" s="25" t="s">
        <v>10748</v>
      </c>
      <c r="C3727" s="19" t="s">
        <v>10749</v>
      </c>
      <c r="D3727" s="42" t="str">
        <f t="shared" si="265"/>
        <v>https://rmda.kulib.kyoto-u.ac.jp/item/rb00002938?page=203</v>
      </c>
      <c r="E3727" s="22"/>
      <c r="F3727" s="22"/>
      <c r="G3727" s="22"/>
    </row>
    <row r="3728" spans="1:7" x14ac:dyDescent="0.15">
      <c r="A3728" s="41" t="s">
        <v>9307</v>
      </c>
      <c r="B3728" s="25" t="s">
        <v>10750</v>
      </c>
      <c r="C3728" s="19" t="s">
        <v>10751</v>
      </c>
      <c r="D3728" s="42" t="str">
        <f t="shared" ref="D3728:D3733" si="266">HYPERLINK("https://rmda.kulib.kyoto-u.ac.jp/item/rb00002938?page=204")</f>
        <v>https://rmda.kulib.kyoto-u.ac.jp/item/rb00002938?page=204</v>
      </c>
      <c r="E3728" s="22"/>
      <c r="F3728" s="22"/>
      <c r="G3728" s="22"/>
    </row>
    <row r="3729" spans="1:7" x14ac:dyDescent="0.15">
      <c r="A3729" s="41" t="s">
        <v>9307</v>
      </c>
      <c r="B3729" s="25" t="s">
        <v>10752</v>
      </c>
      <c r="C3729" s="19" t="s">
        <v>10753</v>
      </c>
      <c r="D3729" s="42" t="str">
        <f t="shared" si="266"/>
        <v>https://rmda.kulib.kyoto-u.ac.jp/item/rb00002938?page=204</v>
      </c>
      <c r="E3729" s="22"/>
      <c r="F3729" s="22"/>
      <c r="G3729" s="22"/>
    </row>
    <row r="3730" spans="1:7" x14ac:dyDescent="0.15">
      <c r="A3730" s="41" t="s">
        <v>9307</v>
      </c>
      <c r="B3730" s="25" t="s">
        <v>10754</v>
      </c>
      <c r="C3730" s="19" t="s">
        <v>10755</v>
      </c>
      <c r="D3730" s="42" t="str">
        <f t="shared" si="266"/>
        <v>https://rmda.kulib.kyoto-u.ac.jp/item/rb00002938?page=204</v>
      </c>
      <c r="E3730" s="22"/>
      <c r="F3730" s="22"/>
      <c r="G3730" s="22"/>
    </row>
    <row r="3731" spans="1:7" x14ac:dyDescent="0.15">
      <c r="A3731" s="41" t="s">
        <v>9307</v>
      </c>
      <c r="B3731" s="25" t="s">
        <v>10756</v>
      </c>
      <c r="C3731" s="19" t="s">
        <v>10757</v>
      </c>
      <c r="D3731" s="42" t="str">
        <f t="shared" si="266"/>
        <v>https://rmda.kulib.kyoto-u.ac.jp/item/rb00002938?page=204</v>
      </c>
      <c r="E3731" s="22"/>
      <c r="F3731" s="22"/>
      <c r="G3731" s="22"/>
    </row>
    <row r="3732" spans="1:7" x14ac:dyDescent="0.15">
      <c r="A3732" s="41" t="s">
        <v>9307</v>
      </c>
      <c r="B3732" s="25" t="s">
        <v>10758</v>
      </c>
      <c r="C3732" s="19" t="s">
        <v>10759</v>
      </c>
      <c r="D3732" s="42" t="str">
        <f t="shared" si="266"/>
        <v>https://rmda.kulib.kyoto-u.ac.jp/item/rb00002938?page=204</v>
      </c>
      <c r="E3732" s="22"/>
      <c r="F3732" s="22"/>
      <c r="G3732" s="22"/>
    </row>
    <row r="3733" spans="1:7" x14ac:dyDescent="0.15">
      <c r="A3733" s="41" t="s">
        <v>9307</v>
      </c>
      <c r="B3733" s="25" t="s">
        <v>10760</v>
      </c>
      <c r="C3733" s="19" t="s">
        <v>10761</v>
      </c>
      <c r="D3733" s="42" t="str">
        <f t="shared" si="266"/>
        <v>https://rmda.kulib.kyoto-u.ac.jp/item/rb00002938?page=204</v>
      </c>
      <c r="E3733" s="22"/>
      <c r="F3733" s="22"/>
      <c r="G3733" s="22"/>
    </row>
    <row r="3734" spans="1:7" x14ac:dyDescent="0.15">
      <c r="A3734" s="41" t="s">
        <v>9307</v>
      </c>
      <c r="B3734" s="25" t="s">
        <v>10762</v>
      </c>
      <c r="C3734" s="19" t="s">
        <v>10763</v>
      </c>
      <c r="D3734" s="42" t="str">
        <f>HYPERLINK("https://rmda.kulib.kyoto-u.ac.jp/item/rb00002938?page=205")</f>
        <v>https://rmda.kulib.kyoto-u.ac.jp/item/rb00002938?page=205</v>
      </c>
      <c r="E3734" s="22"/>
      <c r="F3734" s="22"/>
      <c r="G3734" s="22"/>
    </row>
    <row r="3735" spans="1:7" x14ac:dyDescent="0.15">
      <c r="A3735" s="41" t="s">
        <v>9307</v>
      </c>
      <c r="B3735" s="25" t="s">
        <v>10764</v>
      </c>
      <c r="C3735" s="19" t="s">
        <v>10765</v>
      </c>
      <c r="D3735" s="42" t="str">
        <f>HYPERLINK("https://rmda.kulib.kyoto-u.ac.jp/item/rb00002938?page=205")</f>
        <v>https://rmda.kulib.kyoto-u.ac.jp/item/rb00002938?page=205</v>
      </c>
      <c r="E3735" s="22"/>
      <c r="F3735" s="22"/>
      <c r="G3735" s="22"/>
    </row>
    <row r="3736" spans="1:7" x14ac:dyDescent="0.15">
      <c r="A3736" s="41" t="s">
        <v>9307</v>
      </c>
      <c r="B3736" s="25" t="s">
        <v>10766</v>
      </c>
      <c r="C3736" s="19" t="s">
        <v>10767</v>
      </c>
      <c r="D3736" s="42" t="str">
        <f>HYPERLINK("https://rmda.kulib.kyoto-u.ac.jp/item/rb00002938?page=205")</f>
        <v>https://rmda.kulib.kyoto-u.ac.jp/item/rb00002938?page=205</v>
      </c>
      <c r="E3736" s="22"/>
      <c r="F3736" s="22"/>
      <c r="G3736" s="22"/>
    </row>
    <row r="3737" spans="1:7" x14ac:dyDescent="0.15">
      <c r="A3737" s="41" t="s">
        <v>9307</v>
      </c>
      <c r="B3737" s="25" t="s">
        <v>10768</v>
      </c>
      <c r="C3737" s="19" t="s">
        <v>10769</v>
      </c>
      <c r="D3737" s="42" t="str">
        <f>HYPERLINK("https://rmda.kulib.kyoto-u.ac.jp/item/rb00002938?page=205")</f>
        <v>https://rmda.kulib.kyoto-u.ac.jp/item/rb00002938?page=205</v>
      </c>
      <c r="E3737" s="22"/>
      <c r="F3737" s="22"/>
      <c r="G3737" s="22"/>
    </row>
    <row r="3738" spans="1:7" x14ac:dyDescent="0.15">
      <c r="A3738" s="41" t="s">
        <v>9307</v>
      </c>
      <c r="B3738" s="25" t="s">
        <v>10770</v>
      </c>
      <c r="C3738" s="19" t="s">
        <v>10771</v>
      </c>
      <c r="D3738" s="42" t="str">
        <f t="shared" ref="D3738:D3744" si="267">HYPERLINK("https://rmda.kulib.kyoto-u.ac.jp/item/rb00002938?page=206")</f>
        <v>https://rmda.kulib.kyoto-u.ac.jp/item/rb00002938?page=206</v>
      </c>
      <c r="E3738" s="22"/>
      <c r="F3738" s="22"/>
      <c r="G3738" s="22"/>
    </row>
    <row r="3739" spans="1:7" x14ac:dyDescent="0.15">
      <c r="A3739" s="41" t="s">
        <v>9307</v>
      </c>
      <c r="B3739" s="25" t="s">
        <v>10772</v>
      </c>
      <c r="C3739" s="19" t="s">
        <v>10773</v>
      </c>
      <c r="D3739" s="42" t="str">
        <f t="shared" si="267"/>
        <v>https://rmda.kulib.kyoto-u.ac.jp/item/rb00002938?page=206</v>
      </c>
      <c r="E3739" s="22"/>
      <c r="F3739" s="22"/>
      <c r="G3739" s="22"/>
    </row>
    <row r="3740" spans="1:7" x14ac:dyDescent="0.15">
      <c r="A3740" s="41" t="s">
        <v>9307</v>
      </c>
      <c r="B3740" s="25" t="s">
        <v>10774</v>
      </c>
      <c r="C3740" s="19" t="s">
        <v>10775</v>
      </c>
      <c r="D3740" s="42" t="str">
        <f t="shared" si="267"/>
        <v>https://rmda.kulib.kyoto-u.ac.jp/item/rb00002938?page=206</v>
      </c>
      <c r="E3740" s="22"/>
      <c r="F3740" s="22"/>
      <c r="G3740" s="22"/>
    </row>
    <row r="3741" spans="1:7" x14ac:dyDescent="0.15">
      <c r="A3741" s="41" t="s">
        <v>9307</v>
      </c>
      <c r="B3741" s="25" t="s">
        <v>10776</v>
      </c>
      <c r="C3741" s="19" t="s">
        <v>10777</v>
      </c>
      <c r="D3741" s="42" t="str">
        <f t="shared" si="267"/>
        <v>https://rmda.kulib.kyoto-u.ac.jp/item/rb00002938?page=206</v>
      </c>
      <c r="E3741" s="22"/>
      <c r="F3741" s="22"/>
      <c r="G3741" s="22"/>
    </row>
    <row r="3742" spans="1:7" x14ac:dyDescent="0.15">
      <c r="A3742" s="41" t="s">
        <v>9307</v>
      </c>
      <c r="B3742" s="25" t="s">
        <v>10778</v>
      </c>
      <c r="C3742" s="19" t="s">
        <v>10779</v>
      </c>
      <c r="D3742" s="42" t="str">
        <f t="shared" si="267"/>
        <v>https://rmda.kulib.kyoto-u.ac.jp/item/rb00002938?page=206</v>
      </c>
      <c r="E3742" s="22"/>
      <c r="F3742" s="22"/>
      <c r="G3742" s="22"/>
    </row>
    <row r="3743" spans="1:7" x14ac:dyDescent="0.15">
      <c r="A3743" s="41" t="s">
        <v>9307</v>
      </c>
      <c r="B3743" s="25" t="s">
        <v>10780</v>
      </c>
      <c r="C3743" s="19" t="s">
        <v>10781</v>
      </c>
      <c r="D3743" s="42" t="str">
        <f t="shared" si="267"/>
        <v>https://rmda.kulib.kyoto-u.ac.jp/item/rb00002938?page=206</v>
      </c>
      <c r="E3743" s="22"/>
      <c r="F3743" s="22"/>
      <c r="G3743" s="22"/>
    </row>
    <row r="3744" spans="1:7" x14ac:dyDescent="0.15">
      <c r="A3744" s="41" t="s">
        <v>9307</v>
      </c>
      <c r="B3744" s="25" t="s">
        <v>10782</v>
      </c>
      <c r="C3744" s="19" t="s">
        <v>10783</v>
      </c>
      <c r="D3744" s="42" t="str">
        <f t="shared" si="267"/>
        <v>https://rmda.kulib.kyoto-u.ac.jp/item/rb00002938?page=206</v>
      </c>
      <c r="E3744" s="22"/>
      <c r="F3744" s="22"/>
      <c r="G3744" s="22"/>
    </row>
    <row r="3745" spans="1:7" x14ac:dyDescent="0.15">
      <c r="A3745" s="41" t="s">
        <v>9307</v>
      </c>
      <c r="B3745" s="25" t="s">
        <v>10784</v>
      </c>
      <c r="C3745" s="19" t="s">
        <v>10785</v>
      </c>
      <c r="D3745" s="42" t="str">
        <f>HYPERLINK("https://rmda.kulib.kyoto-u.ac.jp/item/rb00002938?page=207")</f>
        <v>https://rmda.kulib.kyoto-u.ac.jp/item/rb00002938?page=207</v>
      </c>
      <c r="E3745" s="22"/>
      <c r="F3745" s="22"/>
      <c r="G3745" s="22"/>
    </row>
    <row r="3746" spans="1:7" x14ac:dyDescent="0.15">
      <c r="A3746" s="41" t="s">
        <v>9307</v>
      </c>
      <c r="B3746" s="25" t="s">
        <v>10786</v>
      </c>
      <c r="C3746" s="19" t="s">
        <v>10787</v>
      </c>
      <c r="D3746" s="42" t="str">
        <f>HYPERLINK("https://rmda.kulib.kyoto-u.ac.jp/item/rb00002938?page=207")</f>
        <v>https://rmda.kulib.kyoto-u.ac.jp/item/rb00002938?page=207</v>
      </c>
      <c r="E3746" s="22"/>
      <c r="F3746" s="22"/>
      <c r="G3746" s="22"/>
    </row>
    <row r="3747" spans="1:7" x14ac:dyDescent="0.15">
      <c r="A3747" s="41" t="s">
        <v>9307</v>
      </c>
      <c r="B3747" s="25" t="s">
        <v>10788</v>
      </c>
      <c r="C3747" s="19" t="s">
        <v>10789</v>
      </c>
      <c r="D3747" s="42" t="str">
        <f>HYPERLINK("https://rmda.kulib.kyoto-u.ac.jp/item/rb00002938?page=207")</f>
        <v>https://rmda.kulib.kyoto-u.ac.jp/item/rb00002938?page=207</v>
      </c>
      <c r="E3747" s="22"/>
      <c r="F3747" s="22"/>
      <c r="G3747" s="22"/>
    </row>
    <row r="3748" spans="1:7" x14ac:dyDescent="0.15">
      <c r="A3748" s="41" t="s">
        <v>9307</v>
      </c>
      <c r="B3748" s="25" t="s">
        <v>10790</v>
      </c>
      <c r="C3748" s="19" t="s">
        <v>10791</v>
      </c>
      <c r="D3748" s="42" t="str">
        <f>HYPERLINK("https://rmda.kulib.kyoto-u.ac.jp/item/rb00002938?page=207")</f>
        <v>https://rmda.kulib.kyoto-u.ac.jp/item/rb00002938?page=207</v>
      </c>
      <c r="E3748" s="22"/>
      <c r="F3748" s="22"/>
      <c r="G3748" s="22"/>
    </row>
    <row r="3749" spans="1:7" x14ac:dyDescent="0.15">
      <c r="A3749" s="41" t="s">
        <v>9307</v>
      </c>
      <c r="B3749" s="25" t="s">
        <v>10792</v>
      </c>
      <c r="C3749" s="19" t="s">
        <v>10793</v>
      </c>
      <c r="D3749" s="42" t="str">
        <f t="shared" ref="D3749:D3754" si="268">HYPERLINK("https://rmda.kulib.kyoto-u.ac.jp/item/rb00002938?page=208")</f>
        <v>https://rmda.kulib.kyoto-u.ac.jp/item/rb00002938?page=208</v>
      </c>
      <c r="E3749" s="22"/>
      <c r="F3749" s="22"/>
      <c r="G3749" s="22"/>
    </row>
    <row r="3750" spans="1:7" x14ac:dyDescent="0.15">
      <c r="A3750" s="41" t="s">
        <v>9307</v>
      </c>
      <c r="B3750" s="25" t="s">
        <v>10794</v>
      </c>
      <c r="C3750" s="19" t="s">
        <v>10795</v>
      </c>
      <c r="D3750" s="42" t="str">
        <f t="shared" si="268"/>
        <v>https://rmda.kulib.kyoto-u.ac.jp/item/rb00002938?page=208</v>
      </c>
      <c r="E3750" s="22"/>
      <c r="F3750" s="22"/>
      <c r="G3750" s="22"/>
    </row>
    <row r="3751" spans="1:7" x14ac:dyDescent="0.15">
      <c r="A3751" s="41" t="s">
        <v>9307</v>
      </c>
      <c r="B3751" s="25" t="s">
        <v>10796</v>
      </c>
      <c r="C3751" s="19" t="s">
        <v>10797</v>
      </c>
      <c r="D3751" s="42" t="str">
        <f t="shared" si="268"/>
        <v>https://rmda.kulib.kyoto-u.ac.jp/item/rb00002938?page=208</v>
      </c>
      <c r="E3751" s="22"/>
      <c r="F3751" s="22"/>
      <c r="G3751" s="22"/>
    </row>
    <row r="3752" spans="1:7" x14ac:dyDescent="0.15">
      <c r="A3752" s="41" t="s">
        <v>9307</v>
      </c>
      <c r="B3752" s="25" t="s">
        <v>10798</v>
      </c>
      <c r="C3752" s="19" t="s">
        <v>10799</v>
      </c>
      <c r="D3752" s="42" t="str">
        <f t="shared" si="268"/>
        <v>https://rmda.kulib.kyoto-u.ac.jp/item/rb00002938?page=208</v>
      </c>
      <c r="E3752" s="22"/>
      <c r="F3752" s="22"/>
      <c r="G3752" s="22"/>
    </row>
    <row r="3753" spans="1:7" x14ac:dyDescent="0.15">
      <c r="A3753" s="41" t="s">
        <v>9307</v>
      </c>
      <c r="B3753" s="25" t="s">
        <v>10800</v>
      </c>
      <c r="C3753" s="19" t="s">
        <v>10801</v>
      </c>
      <c r="D3753" s="42" t="str">
        <f t="shared" si="268"/>
        <v>https://rmda.kulib.kyoto-u.ac.jp/item/rb00002938?page=208</v>
      </c>
      <c r="E3753" s="22"/>
      <c r="F3753" s="22"/>
      <c r="G3753" s="22"/>
    </row>
    <row r="3754" spans="1:7" x14ac:dyDescent="0.15">
      <c r="A3754" s="41" t="s">
        <v>9307</v>
      </c>
      <c r="B3754" s="25" t="s">
        <v>10802</v>
      </c>
      <c r="C3754" s="19" t="s">
        <v>10803</v>
      </c>
      <c r="D3754" s="42" t="str">
        <f t="shared" si="268"/>
        <v>https://rmda.kulib.kyoto-u.ac.jp/item/rb00002938?page=208</v>
      </c>
      <c r="E3754" s="22"/>
      <c r="F3754" s="22"/>
      <c r="G3754" s="22"/>
    </row>
    <row r="3755" spans="1:7" x14ac:dyDescent="0.15">
      <c r="A3755" s="41" t="s">
        <v>9307</v>
      </c>
      <c r="B3755" s="25" t="s">
        <v>10804</v>
      </c>
      <c r="C3755" s="19" t="s">
        <v>10805</v>
      </c>
      <c r="D3755" s="42" t="str">
        <f>HYPERLINK("https://rmda.kulib.kyoto-u.ac.jp/item/rb00002938?page=209")</f>
        <v>https://rmda.kulib.kyoto-u.ac.jp/item/rb00002938?page=209</v>
      </c>
      <c r="E3755" s="22"/>
      <c r="F3755" s="22"/>
      <c r="G3755" s="22"/>
    </row>
    <row r="3756" spans="1:7" x14ac:dyDescent="0.15">
      <c r="A3756" s="41" t="s">
        <v>9307</v>
      </c>
      <c r="B3756" s="25" t="s">
        <v>10806</v>
      </c>
      <c r="C3756" s="19" t="s">
        <v>10807</v>
      </c>
      <c r="D3756" s="42" t="str">
        <f>HYPERLINK("https://rmda.kulib.kyoto-u.ac.jp/item/rb00002938?page=211")</f>
        <v>https://rmda.kulib.kyoto-u.ac.jp/item/rb00002938?page=211</v>
      </c>
      <c r="E3756" s="22"/>
      <c r="F3756" s="22"/>
      <c r="G3756" s="22"/>
    </row>
    <row r="3757" spans="1:7" x14ac:dyDescent="0.15">
      <c r="A3757" s="41" t="s">
        <v>9307</v>
      </c>
      <c r="B3757" s="25" t="s">
        <v>10808</v>
      </c>
      <c r="C3757" s="19" t="s">
        <v>10809</v>
      </c>
      <c r="D3757" s="42" t="str">
        <f>HYPERLINK("https://rmda.kulib.kyoto-u.ac.jp/item/rb00002938?page=211")</f>
        <v>https://rmda.kulib.kyoto-u.ac.jp/item/rb00002938?page=211</v>
      </c>
      <c r="E3757" s="22"/>
      <c r="F3757" s="22"/>
      <c r="G3757" s="22"/>
    </row>
    <row r="3758" spans="1:7" x14ac:dyDescent="0.15">
      <c r="A3758" s="41" t="s">
        <v>9307</v>
      </c>
      <c r="B3758" s="25" t="s">
        <v>10810</v>
      </c>
      <c r="C3758" s="19" t="s">
        <v>10811</v>
      </c>
      <c r="D3758" s="42" t="str">
        <f>HYPERLINK("https://rmda.kulib.kyoto-u.ac.jp/item/rb00002938?page=211")</f>
        <v>https://rmda.kulib.kyoto-u.ac.jp/item/rb00002938?page=211</v>
      </c>
      <c r="E3758" s="22"/>
      <c r="F3758" s="22"/>
      <c r="G3758" s="22"/>
    </row>
    <row r="3759" spans="1:7" x14ac:dyDescent="0.15">
      <c r="A3759" s="41" t="s">
        <v>9307</v>
      </c>
      <c r="B3759" s="25" t="s">
        <v>10812</v>
      </c>
      <c r="C3759" s="19" t="s">
        <v>10813</v>
      </c>
      <c r="D3759" s="42" t="str">
        <f>HYPERLINK("https://rmda.kulib.kyoto-u.ac.jp/item/rb00002938?page=211")</f>
        <v>https://rmda.kulib.kyoto-u.ac.jp/item/rb00002938?page=211</v>
      </c>
      <c r="E3759" s="22"/>
      <c r="F3759" s="22"/>
      <c r="G3759" s="22"/>
    </row>
    <row r="3760" spans="1:7" x14ac:dyDescent="0.15">
      <c r="A3760" s="41" t="s">
        <v>9307</v>
      </c>
      <c r="B3760" s="25" t="s">
        <v>10814</v>
      </c>
      <c r="C3760" s="19" t="s">
        <v>10815</v>
      </c>
      <c r="D3760" s="42" t="str">
        <f>HYPERLINK("https://rmda.kulib.kyoto-u.ac.jp/item/rb00002938?page=211")</f>
        <v>https://rmda.kulib.kyoto-u.ac.jp/item/rb00002938?page=211</v>
      </c>
      <c r="E3760" s="22"/>
      <c r="F3760" s="22"/>
      <c r="G3760" s="22"/>
    </row>
    <row r="3761" spans="1:7" x14ac:dyDescent="0.15">
      <c r="A3761" s="41" t="s">
        <v>9307</v>
      </c>
      <c r="B3761" s="25" t="s">
        <v>10816</v>
      </c>
      <c r="C3761" s="19" t="s">
        <v>10817</v>
      </c>
      <c r="D3761" s="42" t="str">
        <f>HYPERLINK("https://rmda.kulib.kyoto-u.ac.jp/item/rb00002938?page=212")</f>
        <v>https://rmda.kulib.kyoto-u.ac.jp/item/rb00002938?page=212</v>
      </c>
      <c r="E3761" s="22"/>
      <c r="F3761" s="22"/>
      <c r="G3761" s="22"/>
    </row>
    <row r="3762" spans="1:7" x14ac:dyDescent="0.15">
      <c r="A3762" s="41" t="s">
        <v>9307</v>
      </c>
      <c r="B3762" s="25" t="s">
        <v>10818</v>
      </c>
      <c r="C3762" s="19" t="s">
        <v>10819</v>
      </c>
      <c r="D3762" s="42" t="str">
        <f>HYPERLINK("https://rmda.kulib.kyoto-u.ac.jp/item/rb00002938?page=213")</f>
        <v>https://rmda.kulib.kyoto-u.ac.jp/item/rb00002938?page=213</v>
      </c>
      <c r="E3762" s="22"/>
      <c r="F3762" s="22"/>
      <c r="G3762" s="22"/>
    </row>
    <row r="3763" spans="1:7" x14ac:dyDescent="0.15">
      <c r="A3763" s="41" t="s">
        <v>9307</v>
      </c>
      <c r="B3763" s="25" t="s">
        <v>10820</v>
      </c>
      <c r="C3763" s="19" t="s">
        <v>10821</v>
      </c>
      <c r="D3763" s="42" t="str">
        <f>HYPERLINK("https://rmda.kulib.kyoto-u.ac.jp/item/rb00002938?page=213")</f>
        <v>https://rmda.kulib.kyoto-u.ac.jp/item/rb00002938?page=213</v>
      </c>
      <c r="E3763" s="22"/>
      <c r="F3763" s="22"/>
      <c r="G3763" s="22"/>
    </row>
    <row r="3764" spans="1:7" x14ac:dyDescent="0.15">
      <c r="A3764" s="41" t="s">
        <v>9307</v>
      </c>
      <c r="B3764" s="25" t="s">
        <v>6769</v>
      </c>
      <c r="C3764" s="19"/>
      <c r="D3764" s="42" t="str">
        <f>HYPERLINK("https://rmda.kulib.kyoto-u.ac.jp/item/rb00002938?page=218")</f>
        <v>https://rmda.kulib.kyoto-u.ac.jp/item/rb00002938?page=218</v>
      </c>
      <c r="E3764" s="22"/>
      <c r="F3764" s="22"/>
      <c r="G3764" s="22"/>
    </row>
    <row r="3765" spans="1:7" x14ac:dyDescent="0.15">
      <c r="A3765" s="41" t="s">
        <v>9307</v>
      </c>
      <c r="B3765" s="25" t="s">
        <v>10822</v>
      </c>
      <c r="C3765" s="19" t="s">
        <v>10823</v>
      </c>
      <c r="D3765" s="42" t="str">
        <f>HYPERLINK("https://rmda.kulib.kyoto-u.ac.jp/item/rb00002938?page=226")</f>
        <v>https://rmda.kulib.kyoto-u.ac.jp/item/rb00002938?page=226</v>
      </c>
      <c r="E3765" s="22"/>
      <c r="F3765" s="22"/>
      <c r="G3765" s="22"/>
    </row>
    <row r="3766" spans="1:7" x14ac:dyDescent="0.15">
      <c r="A3766" s="41" t="s">
        <v>9307</v>
      </c>
      <c r="B3766" s="25" t="s">
        <v>10824</v>
      </c>
      <c r="C3766" s="19" t="s">
        <v>10825</v>
      </c>
      <c r="D3766" s="42" t="str">
        <f>HYPERLINK("https://rmda.kulib.kyoto-u.ac.jp/item/rb00002938?page=227")</f>
        <v>https://rmda.kulib.kyoto-u.ac.jp/item/rb00002938?page=227</v>
      </c>
      <c r="E3766" s="22"/>
      <c r="F3766" s="22"/>
      <c r="G3766" s="22"/>
    </row>
    <row r="3767" spans="1:7" x14ac:dyDescent="0.15">
      <c r="A3767" s="41" t="s">
        <v>9307</v>
      </c>
      <c r="B3767" s="25" t="s">
        <v>10826</v>
      </c>
      <c r="C3767" s="19" t="s">
        <v>10827</v>
      </c>
      <c r="D3767" s="42" t="str">
        <f>HYPERLINK("https://rmda.kulib.kyoto-u.ac.jp/item/rb00002938?page=229")</f>
        <v>https://rmda.kulib.kyoto-u.ac.jp/item/rb00002938?page=229</v>
      </c>
      <c r="E3767" s="22"/>
      <c r="F3767" s="22"/>
      <c r="G3767" s="22"/>
    </row>
    <row r="3768" spans="1:7" x14ac:dyDescent="0.15">
      <c r="A3768" s="41" t="s">
        <v>9307</v>
      </c>
      <c r="B3768" s="25" t="s">
        <v>10828</v>
      </c>
      <c r="C3768" s="19" t="s">
        <v>10829</v>
      </c>
      <c r="D3768" s="42" t="str">
        <f>HYPERLINK("https://rmda.kulib.kyoto-u.ac.jp/item/rb00002938?page=229")</f>
        <v>https://rmda.kulib.kyoto-u.ac.jp/item/rb00002938?page=229</v>
      </c>
      <c r="E3768" s="22"/>
      <c r="F3768" s="22"/>
      <c r="G3768" s="22"/>
    </row>
    <row r="3769" spans="1:7" x14ac:dyDescent="0.15">
      <c r="A3769" s="41" t="s">
        <v>9307</v>
      </c>
      <c r="B3769" s="25" t="s">
        <v>10830</v>
      </c>
      <c r="C3769" s="19" t="s">
        <v>10831</v>
      </c>
      <c r="D3769" s="42" t="str">
        <f>HYPERLINK("https://rmda.kulib.kyoto-u.ac.jp/item/rb00002938?page=229")</f>
        <v>https://rmda.kulib.kyoto-u.ac.jp/item/rb00002938?page=229</v>
      </c>
      <c r="E3769" s="22"/>
      <c r="F3769" s="22"/>
      <c r="G3769" s="22"/>
    </row>
    <row r="3770" spans="1:7" x14ac:dyDescent="0.15">
      <c r="A3770" s="41" t="s">
        <v>9307</v>
      </c>
      <c r="B3770" s="25" t="s">
        <v>10832</v>
      </c>
      <c r="C3770" s="19" t="s">
        <v>10833</v>
      </c>
      <c r="D3770" s="42" t="str">
        <f t="shared" ref="D3770:D3776" si="269">HYPERLINK("https://rmda.kulib.kyoto-u.ac.jp/item/rb00002938?page=230")</f>
        <v>https://rmda.kulib.kyoto-u.ac.jp/item/rb00002938?page=230</v>
      </c>
      <c r="E3770" s="22"/>
      <c r="F3770" s="22"/>
      <c r="G3770" s="22"/>
    </row>
    <row r="3771" spans="1:7" x14ac:dyDescent="0.15">
      <c r="A3771" s="41" t="s">
        <v>9307</v>
      </c>
      <c r="B3771" s="25" t="s">
        <v>10834</v>
      </c>
      <c r="C3771" s="19" t="s">
        <v>10835</v>
      </c>
      <c r="D3771" s="42" t="str">
        <f t="shared" si="269"/>
        <v>https://rmda.kulib.kyoto-u.ac.jp/item/rb00002938?page=230</v>
      </c>
      <c r="E3771" s="22"/>
      <c r="F3771" s="22"/>
      <c r="G3771" s="22"/>
    </row>
    <row r="3772" spans="1:7" x14ac:dyDescent="0.15">
      <c r="A3772" s="41" t="s">
        <v>9307</v>
      </c>
      <c r="B3772" s="25" t="s">
        <v>10836</v>
      </c>
      <c r="C3772" s="19" t="s">
        <v>10837</v>
      </c>
      <c r="D3772" s="42" t="str">
        <f t="shared" si="269"/>
        <v>https://rmda.kulib.kyoto-u.ac.jp/item/rb00002938?page=230</v>
      </c>
      <c r="E3772" s="22"/>
      <c r="F3772" s="22"/>
      <c r="G3772" s="22"/>
    </row>
    <row r="3773" spans="1:7" x14ac:dyDescent="0.15">
      <c r="A3773" s="41" t="s">
        <v>9307</v>
      </c>
      <c r="B3773" s="25" t="s">
        <v>10838</v>
      </c>
      <c r="C3773" s="19" t="s">
        <v>10839</v>
      </c>
      <c r="D3773" s="42" t="str">
        <f t="shared" si="269"/>
        <v>https://rmda.kulib.kyoto-u.ac.jp/item/rb00002938?page=230</v>
      </c>
      <c r="E3773" s="22"/>
      <c r="F3773" s="22"/>
      <c r="G3773" s="22"/>
    </row>
    <row r="3774" spans="1:7" x14ac:dyDescent="0.15">
      <c r="A3774" s="41" t="s">
        <v>9307</v>
      </c>
      <c r="B3774" s="25" t="s">
        <v>10840</v>
      </c>
      <c r="C3774" s="19" t="s">
        <v>10841</v>
      </c>
      <c r="D3774" s="42" t="str">
        <f t="shared" si="269"/>
        <v>https://rmda.kulib.kyoto-u.ac.jp/item/rb00002938?page=230</v>
      </c>
      <c r="E3774" s="22"/>
      <c r="F3774" s="22"/>
      <c r="G3774" s="22"/>
    </row>
    <row r="3775" spans="1:7" x14ac:dyDescent="0.15">
      <c r="A3775" s="41" t="s">
        <v>9307</v>
      </c>
      <c r="B3775" s="25" t="s">
        <v>10842</v>
      </c>
      <c r="C3775" s="19" t="s">
        <v>10843</v>
      </c>
      <c r="D3775" s="42" t="str">
        <f t="shared" si="269"/>
        <v>https://rmda.kulib.kyoto-u.ac.jp/item/rb00002938?page=230</v>
      </c>
      <c r="E3775" s="22"/>
      <c r="F3775" s="22"/>
      <c r="G3775" s="22"/>
    </row>
    <row r="3776" spans="1:7" x14ac:dyDescent="0.15">
      <c r="A3776" s="41" t="s">
        <v>9307</v>
      </c>
      <c r="B3776" s="25" t="s">
        <v>10844</v>
      </c>
      <c r="C3776" s="19" t="s">
        <v>10845</v>
      </c>
      <c r="D3776" s="42" t="str">
        <f t="shared" si="269"/>
        <v>https://rmda.kulib.kyoto-u.ac.jp/item/rb00002938?page=230</v>
      </c>
      <c r="E3776" s="22"/>
      <c r="F3776" s="22"/>
      <c r="G3776" s="22"/>
    </row>
    <row r="3777" spans="1:7" ht="18.75" x14ac:dyDescent="0.15">
      <c r="A3777" s="41" t="s">
        <v>9307</v>
      </c>
      <c r="B3777" s="25" t="s">
        <v>10846</v>
      </c>
      <c r="C3777" s="19" t="s">
        <v>10847</v>
      </c>
      <c r="D3777" s="42" t="str">
        <f t="shared" ref="D3777:D3782" si="270">HYPERLINK("https://rmda.kulib.kyoto-u.ac.jp/item/rb00002938?page=231")</f>
        <v>https://rmda.kulib.kyoto-u.ac.jp/item/rb00002938?page=231</v>
      </c>
      <c r="E3777" s="22"/>
      <c r="F3777" s="22"/>
      <c r="G3777" s="22"/>
    </row>
    <row r="3778" spans="1:7" x14ac:dyDescent="0.15">
      <c r="A3778" s="41" t="s">
        <v>9307</v>
      </c>
      <c r="B3778" s="25" t="s">
        <v>10848</v>
      </c>
      <c r="C3778" s="19" t="s">
        <v>10849</v>
      </c>
      <c r="D3778" s="42" t="str">
        <f t="shared" si="270"/>
        <v>https://rmda.kulib.kyoto-u.ac.jp/item/rb00002938?page=231</v>
      </c>
      <c r="E3778" s="22"/>
      <c r="F3778" s="22"/>
      <c r="G3778" s="22"/>
    </row>
    <row r="3779" spans="1:7" x14ac:dyDescent="0.15">
      <c r="A3779" s="41" t="s">
        <v>9307</v>
      </c>
      <c r="B3779" s="25" t="s">
        <v>10850</v>
      </c>
      <c r="C3779" s="19" t="s">
        <v>10851</v>
      </c>
      <c r="D3779" s="42" t="str">
        <f t="shared" si="270"/>
        <v>https://rmda.kulib.kyoto-u.ac.jp/item/rb00002938?page=231</v>
      </c>
      <c r="E3779" s="22"/>
      <c r="F3779" s="22"/>
      <c r="G3779" s="22"/>
    </row>
    <row r="3780" spans="1:7" x14ac:dyDescent="0.15">
      <c r="A3780" s="41" t="s">
        <v>9307</v>
      </c>
      <c r="B3780" s="25" t="s">
        <v>10852</v>
      </c>
      <c r="C3780" s="19" t="s">
        <v>10853</v>
      </c>
      <c r="D3780" s="42" t="str">
        <f t="shared" si="270"/>
        <v>https://rmda.kulib.kyoto-u.ac.jp/item/rb00002938?page=231</v>
      </c>
      <c r="E3780" s="22"/>
      <c r="F3780" s="22"/>
      <c r="G3780" s="22"/>
    </row>
    <row r="3781" spans="1:7" x14ac:dyDescent="0.15">
      <c r="A3781" s="41" t="s">
        <v>9307</v>
      </c>
      <c r="B3781" s="25" t="s">
        <v>10854</v>
      </c>
      <c r="C3781" s="19" t="s">
        <v>10855</v>
      </c>
      <c r="D3781" s="42" t="str">
        <f t="shared" si="270"/>
        <v>https://rmda.kulib.kyoto-u.ac.jp/item/rb00002938?page=231</v>
      </c>
      <c r="E3781" s="22"/>
      <c r="F3781" s="22"/>
      <c r="G3781" s="22"/>
    </row>
    <row r="3782" spans="1:7" x14ac:dyDescent="0.15">
      <c r="A3782" s="41" t="s">
        <v>9307</v>
      </c>
      <c r="B3782" s="25" t="s">
        <v>10856</v>
      </c>
      <c r="C3782" s="19" t="s">
        <v>10857</v>
      </c>
      <c r="D3782" s="42" t="str">
        <f t="shared" si="270"/>
        <v>https://rmda.kulib.kyoto-u.ac.jp/item/rb00002938?page=231</v>
      </c>
      <c r="E3782" s="22"/>
      <c r="F3782" s="22"/>
      <c r="G3782" s="22"/>
    </row>
    <row r="3783" spans="1:7" x14ac:dyDescent="0.15">
      <c r="A3783" s="41" t="s">
        <v>9307</v>
      </c>
      <c r="B3783" s="25" t="s">
        <v>10858</v>
      </c>
      <c r="C3783" s="19" t="s">
        <v>10859</v>
      </c>
      <c r="D3783" s="42" t="str">
        <f t="shared" ref="D3783:D3788" si="271">HYPERLINK("https://rmda.kulib.kyoto-u.ac.jp/item/rb00002938?page=228")</f>
        <v>https://rmda.kulib.kyoto-u.ac.jp/item/rb00002938?page=228</v>
      </c>
      <c r="E3783" s="22"/>
      <c r="F3783" s="22"/>
      <c r="G3783" s="22"/>
    </row>
    <row r="3784" spans="1:7" x14ac:dyDescent="0.15">
      <c r="A3784" s="41" t="s">
        <v>9307</v>
      </c>
      <c r="B3784" s="25" t="s">
        <v>10860</v>
      </c>
      <c r="C3784" s="19" t="s">
        <v>10861</v>
      </c>
      <c r="D3784" s="42" t="str">
        <f t="shared" si="271"/>
        <v>https://rmda.kulib.kyoto-u.ac.jp/item/rb00002938?page=228</v>
      </c>
      <c r="E3784" s="22"/>
      <c r="F3784" s="22"/>
      <c r="G3784" s="22"/>
    </row>
    <row r="3785" spans="1:7" x14ac:dyDescent="0.15">
      <c r="A3785" s="41" t="s">
        <v>9307</v>
      </c>
      <c r="B3785" s="25" t="s">
        <v>10862</v>
      </c>
      <c r="C3785" s="19" t="s">
        <v>10863</v>
      </c>
      <c r="D3785" s="42" t="str">
        <f t="shared" si="271"/>
        <v>https://rmda.kulib.kyoto-u.ac.jp/item/rb00002938?page=228</v>
      </c>
      <c r="E3785" s="22"/>
      <c r="F3785" s="22"/>
      <c r="G3785" s="22"/>
    </row>
    <row r="3786" spans="1:7" x14ac:dyDescent="0.15">
      <c r="A3786" s="41" t="s">
        <v>9307</v>
      </c>
      <c r="B3786" s="25" t="s">
        <v>10864</v>
      </c>
      <c r="C3786" s="19" t="s">
        <v>10865</v>
      </c>
      <c r="D3786" s="42" t="str">
        <f t="shared" si="271"/>
        <v>https://rmda.kulib.kyoto-u.ac.jp/item/rb00002938?page=228</v>
      </c>
      <c r="E3786" s="22"/>
      <c r="F3786" s="22"/>
      <c r="G3786" s="22"/>
    </row>
    <row r="3787" spans="1:7" x14ac:dyDescent="0.15">
      <c r="A3787" s="41" t="s">
        <v>9307</v>
      </c>
      <c r="B3787" s="25" t="s">
        <v>10866</v>
      </c>
      <c r="C3787" s="19" t="s">
        <v>10867</v>
      </c>
      <c r="D3787" s="42" t="str">
        <f t="shared" si="271"/>
        <v>https://rmda.kulib.kyoto-u.ac.jp/item/rb00002938?page=228</v>
      </c>
      <c r="E3787" s="22"/>
      <c r="F3787" s="22"/>
      <c r="G3787" s="22"/>
    </row>
    <row r="3788" spans="1:7" x14ac:dyDescent="0.15">
      <c r="A3788" s="41" t="s">
        <v>9307</v>
      </c>
      <c r="B3788" s="25" t="s">
        <v>10868</v>
      </c>
      <c r="C3788" s="19" t="s">
        <v>10869</v>
      </c>
      <c r="D3788" s="42" t="str">
        <f t="shared" si="271"/>
        <v>https://rmda.kulib.kyoto-u.ac.jp/item/rb00002938?page=228</v>
      </c>
      <c r="E3788" s="22"/>
      <c r="F3788" s="22"/>
      <c r="G3788" s="22"/>
    </row>
    <row r="3789" spans="1:7" x14ac:dyDescent="0.15">
      <c r="A3789" s="41" t="s">
        <v>9307</v>
      </c>
      <c r="B3789" s="25" t="s">
        <v>10870</v>
      </c>
      <c r="C3789" s="19" t="s">
        <v>10871</v>
      </c>
      <c r="D3789" s="42" t="str">
        <f>HYPERLINK("https://rmda.kulib.kyoto-u.ac.jp/item/rb00002938?page=229")</f>
        <v>https://rmda.kulib.kyoto-u.ac.jp/item/rb00002938?page=229</v>
      </c>
      <c r="E3789" s="22"/>
      <c r="F3789" s="22"/>
      <c r="G3789" s="22"/>
    </row>
    <row r="3790" spans="1:7" x14ac:dyDescent="0.15">
      <c r="A3790" s="41" t="s">
        <v>9307</v>
      </c>
      <c r="B3790" s="25" t="s">
        <v>10872</v>
      </c>
      <c r="C3790" s="19" t="s">
        <v>10873</v>
      </c>
      <c r="D3790" s="42" t="str">
        <f>HYPERLINK("https://rmda.kulib.kyoto-u.ac.jp/item/rb00002938?page=229")</f>
        <v>https://rmda.kulib.kyoto-u.ac.jp/item/rb00002938?page=229</v>
      </c>
      <c r="E3790" s="22"/>
      <c r="F3790" s="22"/>
      <c r="G3790" s="22"/>
    </row>
    <row r="3791" spans="1:7" x14ac:dyDescent="0.15">
      <c r="A3791" s="41" t="s">
        <v>9307</v>
      </c>
      <c r="B3791" s="25" t="s">
        <v>10874</v>
      </c>
      <c r="C3791" s="19" t="s">
        <v>10875</v>
      </c>
      <c r="D3791" s="42" t="str">
        <f>HYPERLINK("https://rmda.kulib.kyoto-u.ac.jp/item/rb00002938?page=229")</f>
        <v>https://rmda.kulib.kyoto-u.ac.jp/item/rb00002938?page=229</v>
      </c>
      <c r="E3791" s="22"/>
      <c r="F3791" s="22"/>
      <c r="G3791" s="22"/>
    </row>
    <row r="3792" spans="1:7" x14ac:dyDescent="0.15">
      <c r="A3792" s="41" t="s">
        <v>9307</v>
      </c>
      <c r="B3792" s="25" t="s">
        <v>10876</v>
      </c>
      <c r="C3792" s="19" t="s">
        <v>10877</v>
      </c>
      <c r="D3792" s="42" t="str">
        <f>HYPERLINK("https://rmda.kulib.kyoto-u.ac.jp/item/rb00002938?page=232")</f>
        <v>https://rmda.kulib.kyoto-u.ac.jp/item/rb00002938?page=232</v>
      </c>
      <c r="E3792" s="22"/>
      <c r="F3792" s="22"/>
      <c r="G3792" s="22"/>
    </row>
    <row r="3793" spans="1:7" ht="27" x14ac:dyDescent="0.15">
      <c r="A3793" s="41" t="s">
        <v>9307</v>
      </c>
      <c r="B3793" s="25" t="s">
        <v>10878</v>
      </c>
      <c r="C3793" s="19" t="s">
        <v>10879</v>
      </c>
      <c r="D3793" s="42" t="str">
        <f>HYPERLINK("https://rmda.kulib.kyoto-u.ac.jp/item/rb00002938?page=233")</f>
        <v>https://rmda.kulib.kyoto-u.ac.jp/item/rb00002938?page=233</v>
      </c>
      <c r="E3793" s="22"/>
      <c r="F3793" s="22"/>
      <c r="G3793" s="22"/>
    </row>
    <row r="3794" spans="1:7" x14ac:dyDescent="0.15">
      <c r="A3794" s="41" t="s">
        <v>9307</v>
      </c>
      <c r="B3794" s="25" t="s">
        <v>10880</v>
      </c>
      <c r="C3794" s="19" t="s">
        <v>10881</v>
      </c>
      <c r="D3794" s="42" t="str">
        <f>HYPERLINK("https://rmda.kulib.kyoto-u.ac.jp/item/rb00002938?page=233")</f>
        <v>https://rmda.kulib.kyoto-u.ac.jp/item/rb00002938?page=233</v>
      </c>
      <c r="E3794" s="22"/>
      <c r="F3794" s="22"/>
      <c r="G3794" s="22"/>
    </row>
    <row r="3795" spans="1:7" x14ac:dyDescent="0.15">
      <c r="A3795" s="41" t="s">
        <v>9307</v>
      </c>
      <c r="B3795" s="25" t="s">
        <v>10882</v>
      </c>
      <c r="C3795" s="19" t="s">
        <v>10883</v>
      </c>
      <c r="D3795" s="42" t="str">
        <f>HYPERLINK("https://rmda.kulib.kyoto-u.ac.jp/item/rb00002938?page=233")</f>
        <v>https://rmda.kulib.kyoto-u.ac.jp/item/rb00002938?page=233</v>
      </c>
      <c r="E3795" s="22"/>
      <c r="F3795" s="22"/>
      <c r="G3795" s="22"/>
    </row>
    <row r="3796" spans="1:7" x14ac:dyDescent="0.15">
      <c r="A3796" s="41" t="s">
        <v>9307</v>
      </c>
      <c r="B3796" s="25" t="s">
        <v>10884</v>
      </c>
      <c r="C3796" s="19" t="s">
        <v>10885</v>
      </c>
      <c r="D3796" s="42" t="str">
        <f>HYPERLINK("https://rmda.kulib.kyoto-u.ac.jp/item/rb00002938?page=233")</f>
        <v>https://rmda.kulib.kyoto-u.ac.jp/item/rb00002938?page=233</v>
      </c>
      <c r="E3796" s="22"/>
      <c r="F3796" s="22"/>
      <c r="G3796" s="22"/>
    </row>
    <row r="3797" spans="1:7" x14ac:dyDescent="0.15">
      <c r="A3797" s="41" t="s">
        <v>9307</v>
      </c>
      <c r="B3797" s="25" t="s">
        <v>10886</v>
      </c>
      <c r="C3797" s="19" t="s">
        <v>10887</v>
      </c>
      <c r="D3797" s="42" t="str">
        <f>HYPERLINK("https://rmda.kulib.kyoto-u.ac.jp/item/rb00002938?page=233")</f>
        <v>https://rmda.kulib.kyoto-u.ac.jp/item/rb00002938?page=233</v>
      </c>
      <c r="E3797" s="22"/>
      <c r="F3797" s="22"/>
      <c r="G3797" s="22"/>
    </row>
    <row r="3798" spans="1:7" x14ac:dyDescent="0.15">
      <c r="A3798" s="41" t="s">
        <v>9307</v>
      </c>
      <c r="B3798" s="25" t="s">
        <v>10888</v>
      </c>
      <c r="C3798" s="19" t="s">
        <v>10889</v>
      </c>
      <c r="D3798" s="42" t="str">
        <f>HYPERLINK("https://rmda.kulib.kyoto-u.ac.jp/item/rb00002938?page=234")</f>
        <v>https://rmda.kulib.kyoto-u.ac.jp/item/rb00002938?page=234</v>
      </c>
      <c r="E3798" s="22"/>
      <c r="F3798" s="22"/>
      <c r="G3798" s="22"/>
    </row>
    <row r="3799" spans="1:7" x14ac:dyDescent="0.15">
      <c r="A3799" s="41" t="s">
        <v>9307</v>
      </c>
      <c r="B3799" s="25" t="s">
        <v>10890</v>
      </c>
      <c r="C3799" s="19" t="s">
        <v>10891</v>
      </c>
      <c r="D3799" s="42" t="str">
        <f>HYPERLINK("https://rmda.kulib.kyoto-u.ac.jp/item/rb00002938?page=234")</f>
        <v>https://rmda.kulib.kyoto-u.ac.jp/item/rb00002938?page=234</v>
      </c>
      <c r="E3799" s="22"/>
      <c r="F3799" s="22"/>
      <c r="G3799" s="22"/>
    </row>
    <row r="3800" spans="1:7" x14ac:dyDescent="0.15">
      <c r="A3800" s="41" t="s">
        <v>9307</v>
      </c>
      <c r="B3800" s="25" t="s">
        <v>10892</v>
      </c>
      <c r="C3800" s="19" t="s">
        <v>10893</v>
      </c>
      <c r="D3800" s="42" t="str">
        <f>HYPERLINK("https://rmda.kulib.kyoto-u.ac.jp/item/rb00002938?page=234")</f>
        <v>https://rmda.kulib.kyoto-u.ac.jp/item/rb00002938?page=234</v>
      </c>
      <c r="E3800" s="22"/>
      <c r="F3800" s="22"/>
      <c r="G3800" s="22"/>
    </row>
    <row r="3801" spans="1:7" x14ac:dyDescent="0.15">
      <c r="A3801" s="41" t="s">
        <v>9307</v>
      </c>
      <c r="B3801" s="25" t="s">
        <v>10894</v>
      </c>
      <c r="C3801" s="19" t="s">
        <v>10895</v>
      </c>
      <c r="D3801" s="42" t="str">
        <f>HYPERLINK("https://rmda.kulib.kyoto-u.ac.jp/item/rb00002938?page=234")</f>
        <v>https://rmda.kulib.kyoto-u.ac.jp/item/rb00002938?page=234</v>
      </c>
      <c r="E3801" s="22"/>
      <c r="F3801" s="22"/>
      <c r="G3801" s="22"/>
    </row>
    <row r="3802" spans="1:7" x14ac:dyDescent="0.15">
      <c r="A3802" s="41" t="s">
        <v>9307</v>
      </c>
      <c r="B3802" s="25" t="s">
        <v>10896</v>
      </c>
      <c r="C3802" s="19" t="s">
        <v>10897</v>
      </c>
      <c r="D3802" s="42" t="str">
        <f>HYPERLINK("https://rmda.kulib.kyoto-u.ac.jp/item/rb00002938?page=234")</f>
        <v>https://rmda.kulib.kyoto-u.ac.jp/item/rb00002938?page=234</v>
      </c>
      <c r="E3802" s="22"/>
      <c r="F3802" s="22"/>
      <c r="G3802" s="22"/>
    </row>
    <row r="3803" spans="1:7" x14ac:dyDescent="0.15">
      <c r="A3803" s="41" t="s">
        <v>9307</v>
      </c>
      <c r="B3803" s="25" t="s">
        <v>10898</v>
      </c>
      <c r="C3803" s="19" t="s">
        <v>10899</v>
      </c>
      <c r="D3803" s="42" t="str">
        <f>HYPERLINK("https://rmda.kulib.kyoto-u.ac.jp/item/rb00002938?page=235")</f>
        <v>https://rmda.kulib.kyoto-u.ac.jp/item/rb00002938?page=235</v>
      </c>
      <c r="E3803" s="22"/>
      <c r="F3803" s="22"/>
      <c r="G3803" s="22"/>
    </row>
    <row r="3804" spans="1:7" x14ac:dyDescent="0.15">
      <c r="A3804" s="41" t="s">
        <v>9307</v>
      </c>
      <c r="B3804" s="25" t="s">
        <v>10900</v>
      </c>
      <c r="C3804" s="19" t="s">
        <v>10901</v>
      </c>
      <c r="D3804" s="42" t="str">
        <f t="shared" ref="D3804:D3810" si="272">HYPERLINK("https://rmda.kulib.kyoto-u.ac.jp/item/rb00002938?page=236")</f>
        <v>https://rmda.kulib.kyoto-u.ac.jp/item/rb00002938?page=236</v>
      </c>
      <c r="E3804" s="22"/>
      <c r="F3804" s="22"/>
      <c r="G3804" s="22"/>
    </row>
    <row r="3805" spans="1:7" x14ac:dyDescent="0.15">
      <c r="A3805" s="41" t="s">
        <v>9307</v>
      </c>
      <c r="B3805" s="25" t="s">
        <v>10902</v>
      </c>
      <c r="C3805" s="19" t="s">
        <v>10903</v>
      </c>
      <c r="D3805" s="42" t="str">
        <f t="shared" si="272"/>
        <v>https://rmda.kulib.kyoto-u.ac.jp/item/rb00002938?page=236</v>
      </c>
      <c r="E3805" s="22"/>
      <c r="F3805" s="22"/>
      <c r="G3805" s="22"/>
    </row>
    <row r="3806" spans="1:7" x14ac:dyDescent="0.15">
      <c r="A3806" s="41" t="s">
        <v>9307</v>
      </c>
      <c r="B3806" s="25" t="s">
        <v>10904</v>
      </c>
      <c r="C3806" s="19" t="s">
        <v>10905</v>
      </c>
      <c r="D3806" s="42" t="str">
        <f t="shared" si="272"/>
        <v>https://rmda.kulib.kyoto-u.ac.jp/item/rb00002938?page=236</v>
      </c>
      <c r="E3806" s="22"/>
      <c r="F3806" s="22"/>
      <c r="G3806" s="22"/>
    </row>
    <row r="3807" spans="1:7" x14ac:dyDescent="0.15">
      <c r="A3807" s="41" t="s">
        <v>9307</v>
      </c>
      <c r="B3807" s="25" t="s">
        <v>10906</v>
      </c>
      <c r="C3807" s="19" t="s">
        <v>10907</v>
      </c>
      <c r="D3807" s="42" t="str">
        <f t="shared" si="272"/>
        <v>https://rmda.kulib.kyoto-u.ac.jp/item/rb00002938?page=236</v>
      </c>
      <c r="E3807" s="22"/>
      <c r="F3807" s="22"/>
      <c r="G3807" s="22"/>
    </row>
    <row r="3808" spans="1:7" x14ac:dyDescent="0.15">
      <c r="A3808" s="41" t="s">
        <v>9307</v>
      </c>
      <c r="B3808" s="25" t="s">
        <v>10908</v>
      </c>
      <c r="C3808" s="19" t="s">
        <v>10909</v>
      </c>
      <c r="D3808" s="42" t="str">
        <f t="shared" si="272"/>
        <v>https://rmda.kulib.kyoto-u.ac.jp/item/rb00002938?page=236</v>
      </c>
      <c r="E3808" s="22"/>
      <c r="F3808" s="22"/>
      <c r="G3808" s="22"/>
    </row>
    <row r="3809" spans="1:7" x14ac:dyDescent="0.15">
      <c r="A3809" s="41" t="s">
        <v>9307</v>
      </c>
      <c r="B3809" s="25" t="s">
        <v>10910</v>
      </c>
      <c r="C3809" s="19" t="s">
        <v>10911</v>
      </c>
      <c r="D3809" s="42" t="str">
        <f t="shared" si="272"/>
        <v>https://rmda.kulib.kyoto-u.ac.jp/item/rb00002938?page=236</v>
      </c>
      <c r="E3809" s="22"/>
      <c r="F3809" s="22"/>
      <c r="G3809" s="22"/>
    </row>
    <row r="3810" spans="1:7" x14ac:dyDescent="0.15">
      <c r="A3810" s="41" t="s">
        <v>9307</v>
      </c>
      <c r="B3810" s="25" t="s">
        <v>10912</v>
      </c>
      <c r="C3810" s="19" t="s">
        <v>10913</v>
      </c>
      <c r="D3810" s="42" t="str">
        <f t="shared" si="272"/>
        <v>https://rmda.kulib.kyoto-u.ac.jp/item/rb00002938?page=236</v>
      </c>
      <c r="E3810" s="22"/>
      <c r="F3810" s="22"/>
      <c r="G3810" s="22"/>
    </row>
    <row r="3811" spans="1:7" x14ac:dyDescent="0.15">
      <c r="A3811" s="41" t="s">
        <v>9307</v>
      </c>
      <c r="B3811" s="25" t="s">
        <v>10914</v>
      </c>
      <c r="C3811" s="19" t="s">
        <v>10915</v>
      </c>
      <c r="D3811" s="42" t="str">
        <f t="shared" ref="D3811:D3817" si="273">HYPERLINK("https://rmda.kulib.kyoto-u.ac.jp/item/rb00002938?page=237")</f>
        <v>https://rmda.kulib.kyoto-u.ac.jp/item/rb00002938?page=237</v>
      </c>
      <c r="E3811" s="22"/>
      <c r="F3811" s="22"/>
      <c r="G3811" s="22"/>
    </row>
    <row r="3812" spans="1:7" x14ac:dyDescent="0.15">
      <c r="A3812" s="41" t="s">
        <v>9307</v>
      </c>
      <c r="B3812" s="25" t="s">
        <v>10916</v>
      </c>
      <c r="C3812" s="19" t="s">
        <v>10917</v>
      </c>
      <c r="D3812" s="42" t="str">
        <f t="shared" si="273"/>
        <v>https://rmda.kulib.kyoto-u.ac.jp/item/rb00002938?page=237</v>
      </c>
      <c r="E3812" s="22"/>
      <c r="F3812" s="22"/>
      <c r="G3812" s="22"/>
    </row>
    <row r="3813" spans="1:7" x14ac:dyDescent="0.15">
      <c r="A3813" s="41" t="s">
        <v>9307</v>
      </c>
      <c r="B3813" s="25" t="s">
        <v>10918</v>
      </c>
      <c r="C3813" s="19" t="s">
        <v>10919</v>
      </c>
      <c r="D3813" s="42" t="str">
        <f t="shared" si="273"/>
        <v>https://rmda.kulib.kyoto-u.ac.jp/item/rb00002938?page=237</v>
      </c>
      <c r="E3813" s="22"/>
      <c r="F3813" s="22"/>
      <c r="G3813" s="22"/>
    </row>
    <row r="3814" spans="1:7" x14ac:dyDescent="0.15">
      <c r="A3814" s="41" t="s">
        <v>9307</v>
      </c>
      <c r="B3814" s="25" t="s">
        <v>10920</v>
      </c>
      <c r="C3814" s="19" t="s">
        <v>10921</v>
      </c>
      <c r="D3814" s="42" t="str">
        <f t="shared" si="273"/>
        <v>https://rmda.kulib.kyoto-u.ac.jp/item/rb00002938?page=237</v>
      </c>
      <c r="E3814" s="22"/>
      <c r="F3814" s="22"/>
      <c r="G3814" s="22"/>
    </row>
    <row r="3815" spans="1:7" x14ac:dyDescent="0.15">
      <c r="A3815" s="41" t="s">
        <v>9307</v>
      </c>
      <c r="B3815" s="25" t="s">
        <v>10922</v>
      </c>
      <c r="C3815" s="19" t="s">
        <v>10923</v>
      </c>
      <c r="D3815" s="42" t="str">
        <f t="shared" si="273"/>
        <v>https://rmda.kulib.kyoto-u.ac.jp/item/rb00002938?page=237</v>
      </c>
      <c r="E3815" s="22"/>
      <c r="F3815" s="22"/>
      <c r="G3815" s="22"/>
    </row>
    <row r="3816" spans="1:7" x14ac:dyDescent="0.15">
      <c r="A3816" s="41" t="s">
        <v>9307</v>
      </c>
      <c r="B3816" s="25" t="s">
        <v>10924</v>
      </c>
      <c r="C3816" s="19" t="s">
        <v>10925</v>
      </c>
      <c r="D3816" s="42" t="str">
        <f t="shared" si="273"/>
        <v>https://rmda.kulib.kyoto-u.ac.jp/item/rb00002938?page=237</v>
      </c>
      <c r="E3816" s="22"/>
      <c r="F3816" s="22"/>
      <c r="G3816" s="22"/>
    </row>
    <row r="3817" spans="1:7" x14ac:dyDescent="0.15">
      <c r="A3817" s="41" t="s">
        <v>9307</v>
      </c>
      <c r="B3817" s="25" t="s">
        <v>10926</v>
      </c>
      <c r="C3817" s="19" t="s">
        <v>10927</v>
      </c>
      <c r="D3817" s="42" t="str">
        <f t="shared" si="273"/>
        <v>https://rmda.kulib.kyoto-u.ac.jp/item/rb00002938?page=237</v>
      </c>
      <c r="E3817" s="22"/>
      <c r="F3817" s="22"/>
      <c r="G3817" s="22"/>
    </row>
    <row r="3818" spans="1:7" x14ac:dyDescent="0.15">
      <c r="A3818" s="41" t="s">
        <v>9307</v>
      </c>
      <c r="B3818" s="25" t="s">
        <v>10928</v>
      </c>
      <c r="C3818" s="19" t="s">
        <v>10929</v>
      </c>
      <c r="D3818" s="42" t="str">
        <f t="shared" ref="D3818:D3823" si="274">HYPERLINK("https://rmda.kulib.kyoto-u.ac.jp/item/rb00002938?page=238")</f>
        <v>https://rmda.kulib.kyoto-u.ac.jp/item/rb00002938?page=238</v>
      </c>
      <c r="E3818" s="22"/>
      <c r="F3818" s="22"/>
      <c r="G3818" s="22"/>
    </row>
    <row r="3819" spans="1:7" x14ac:dyDescent="0.15">
      <c r="A3819" s="41" t="s">
        <v>9307</v>
      </c>
      <c r="B3819" s="25" t="s">
        <v>10930</v>
      </c>
      <c r="C3819" s="19" t="s">
        <v>10931</v>
      </c>
      <c r="D3819" s="42" t="str">
        <f t="shared" si="274"/>
        <v>https://rmda.kulib.kyoto-u.ac.jp/item/rb00002938?page=238</v>
      </c>
      <c r="E3819" s="22"/>
      <c r="F3819" s="22"/>
      <c r="G3819" s="22"/>
    </row>
    <row r="3820" spans="1:7" x14ac:dyDescent="0.15">
      <c r="A3820" s="41" t="s">
        <v>9307</v>
      </c>
      <c r="B3820" s="25" t="s">
        <v>10932</v>
      </c>
      <c r="C3820" s="19" t="s">
        <v>10933</v>
      </c>
      <c r="D3820" s="42" t="str">
        <f t="shared" si="274"/>
        <v>https://rmda.kulib.kyoto-u.ac.jp/item/rb00002938?page=238</v>
      </c>
      <c r="E3820" s="22"/>
      <c r="F3820" s="22"/>
      <c r="G3820" s="22"/>
    </row>
    <row r="3821" spans="1:7" x14ac:dyDescent="0.15">
      <c r="A3821" s="41" t="s">
        <v>9307</v>
      </c>
      <c r="B3821" s="25" t="s">
        <v>10934</v>
      </c>
      <c r="C3821" s="19" t="s">
        <v>10935</v>
      </c>
      <c r="D3821" s="42" t="str">
        <f t="shared" si="274"/>
        <v>https://rmda.kulib.kyoto-u.ac.jp/item/rb00002938?page=238</v>
      </c>
      <c r="E3821" s="22"/>
      <c r="F3821" s="22"/>
      <c r="G3821" s="22"/>
    </row>
    <row r="3822" spans="1:7" x14ac:dyDescent="0.15">
      <c r="A3822" s="41" t="s">
        <v>9307</v>
      </c>
      <c r="B3822" s="25" t="s">
        <v>10936</v>
      </c>
      <c r="C3822" s="19" t="s">
        <v>10937</v>
      </c>
      <c r="D3822" s="42" t="str">
        <f t="shared" si="274"/>
        <v>https://rmda.kulib.kyoto-u.ac.jp/item/rb00002938?page=238</v>
      </c>
      <c r="E3822" s="22"/>
      <c r="F3822" s="22"/>
      <c r="G3822" s="22"/>
    </row>
    <row r="3823" spans="1:7" x14ac:dyDescent="0.15">
      <c r="A3823" s="41" t="s">
        <v>9307</v>
      </c>
      <c r="B3823" s="25" t="s">
        <v>10938</v>
      </c>
      <c r="C3823" s="19" t="s">
        <v>10939</v>
      </c>
      <c r="D3823" s="42" t="str">
        <f t="shared" si="274"/>
        <v>https://rmda.kulib.kyoto-u.ac.jp/item/rb00002938?page=238</v>
      </c>
      <c r="E3823" s="22"/>
      <c r="F3823" s="22"/>
      <c r="G3823" s="22"/>
    </row>
    <row r="3824" spans="1:7" x14ac:dyDescent="0.15">
      <c r="A3824" s="41" t="s">
        <v>9307</v>
      </c>
      <c r="B3824" s="25" t="s">
        <v>10940</v>
      </c>
      <c r="C3824" s="19" t="s">
        <v>10941</v>
      </c>
      <c r="D3824" s="42" t="str">
        <f>HYPERLINK("https://rmda.kulib.kyoto-u.ac.jp/item/rb00002938?page=239")</f>
        <v>https://rmda.kulib.kyoto-u.ac.jp/item/rb00002938?page=239</v>
      </c>
      <c r="E3824" s="22"/>
      <c r="F3824" s="22"/>
      <c r="G3824" s="22"/>
    </row>
    <row r="3825" spans="1:7" x14ac:dyDescent="0.15">
      <c r="A3825" s="41" t="s">
        <v>9307</v>
      </c>
      <c r="B3825" s="25" t="s">
        <v>10942</v>
      </c>
      <c r="C3825" s="19" t="s">
        <v>10943</v>
      </c>
      <c r="D3825" s="42" t="str">
        <f>HYPERLINK("https://rmda.kulib.kyoto-u.ac.jp/item/rb00002938?page=239")</f>
        <v>https://rmda.kulib.kyoto-u.ac.jp/item/rb00002938?page=239</v>
      </c>
      <c r="E3825" s="22"/>
      <c r="F3825" s="22"/>
      <c r="G3825" s="22"/>
    </row>
    <row r="3826" spans="1:7" x14ac:dyDescent="0.15">
      <c r="A3826" s="41" t="s">
        <v>9307</v>
      </c>
      <c r="B3826" s="25" t="s">
        <v>10944</v>
      </c>
      <c r="C3826" s="19" t="s">
        <v>10945</v>
      </c>
      <c r="D3826" s="42" t="str">
        <f>HYPERLINK("https://rmda.kulib.kyoto-u.ac.jp/item/rb00002938?page=239")</f>
        <v>https://rmda.kulib.kyoto-u.ac.jp/item/rb00002938?page=239</v>
      </c>
      <c r="E3826" s="22"/>
      <c r="F3826" s="22"/>
      <c r="G3826" s="22"/>
    </row>
    <row r="3827" spans="1:7" x14ac:dyDescent="0.15">
      <c r="A3827" s="41" t="s">
        <v>9307</v>
      </c>
      <c r="B3827" s="25" t="s">
        <v>10946</v>
      </c>
      <c r="C3827" s="19" t="s">
        <v>10947</v>
      </c>
      <c r="D3827" s="42" t="str">
        <f>HYPERLINK("https://rmda.kulib.kyoto-u.ac.jp/item/rb00002938?page=239")</f>
        <v>https://rmda.kulib.kyoto-u.ac.jp/item/rb00002938?page=239</v>
      </c>
      <c r="E3827" s="22"/>
      <c r="F3827" s="22"/>
      <c r="G3827" s="22"/>
    </row>
    <row r="3828" spans="1:7" x14ac:dyDescent="0.15">
      <c r="A3828" s="41" t="s">
        <v>9307</v>
      </c>
      <c r="B3828" s="25" t="s">
        <v>10948</v>
      </c>
      <c r="C3828" s="19" t="s">
        <v>10949</v>
      </c>
      <c r="D3828" s="42" t="str">
        <f>HYPERLINK("https://rmda.kulib.kyoto-u.ac.jp/item/rb00002938?page=239")</f>
        <v>https://rmda.kulib.kyoto-u.ac.jp/item/rb00002938?page=239</v>
      </c>
      <c r="E3828" s="22"/>
      <c r="F3828" s="22"/>
      <c r="G3828" s="22"/>
    </row>
    <row r="3829" spans="1:7" x14ac:dyDescent="0.15">
      <c r="A3829" s="41" t="s">
        <v>9307</v>
      </c>
      <c r="B3829" s="25" t="s">
        <v>10950</v>
      </c>
      <c r="C3829" s="19" t="s">
        <v>10951</v>
      </c>
      <c r="D3829" s="42" t="str">
        <f>HYPERLINK("https://rmda.kulib.kyoto-u.ac.jp/item/rb00002938?page=240")</f>
        <v>https://rmda.kulib.kyoto-u.ac.jp/item/rb00002938?page=240</v>
      </c>
      <c r="E3829" s="22"/>
      <c r="F3829" s="22"/>
      <c r="G3829" s="22"/>
    </row>
    <row r="3830" spans="1:7" x14ac:dyDescent="0.15">
      <c r="A3830" s="41" t="s">
        <v>9307</v>
      </c>
      <c r="B3830" s="25" t="s">
        <v>10952</v>
      </c>
      <c r="C3830" s="19" t="s">
        <v>10953</v>
      </c>
      <c r="D3830" s="42" t="str">
        <f>HYPERLINK("https://rmda.kulib.kyoto-u.ac.jp/item/rb00002938?page=240")</f>
        <v>https://rmda.kulib.kyoto-u.ac.jp/item/rb00002938?page=240</v>
      </c>
      <c r="E3830" s="22"/>
      <c r="F3830" s="22"/>
      <c r="G3830" s="22"/>
    </row>
    <row r="3831" spans="1:7" x14ac:dyDescent="0.15">
      <c r="A3831" s="41" t="s">
        <v>9307</v>
      </c>
      <c r="B3831" s="25" t="s">
        <v>10954</v>
      </c>
      <c r="C3831" s="19" t="s">
        <v>10955</v>
      </c>
      <c r="D3831" s="42" t="str">
        <f>HYPERLINK("https://rmda.kulib.kyoto-u.ac.jp/item/rb00002938?page=240")</f>
        <v>https://rmda.kulib.kyoto-u.ac.jp/item/rb00002938?page=240</v>
      </c>
      <c r="E3831" s="22"/>
      <c r="F3831" s="22"/>
      <c r="G3831" s="22"/>
    </row>
    <row r="3832" spans="1:7" x14ac:dyDescent="0.15">
      <c r="A3832" s="41" t="s">
        <v>9307</v>
      </c>
      <c r="B3832" s="25" t="s">
        <v>10956</v>
      </c>
      <c r="C3832" s="19" t="s">
        <v>10957</v>
      </c>
      <c r="D3832" s="42" t="str">
        <f>HYPERLINK("https://rmda.kulib.kyoto-u.ac.jp/item/rb00002938?page=241")</f>
        <v>https://rmda.kulib.kyoto-u.ac.jp/item/rb00002938?page=241</v>
      </c>
      <c r="E3832" s="22"/>
      <c r="F3832" s="22"/>
      <c r="G3832" s="22"/>
    </row>
    <row r="3833" spans="1:7" x14ac:dyDescent="0.15">
      <c r="A3833" s="41" t="s">
        <v>9307</v>
      </c>
      <c r="B3833" s="25" t="s">
        <v>10958</v>
      </c>
      <c r="C3833" s="19" t="s">
        <v>10959</v>
      </c>
      <c r="D3833" s="42" t="str">
        <f>HYPERLINK("https://rmda.kulib.kyoto-u.ac.jp/item/rb00002938?page=241")</f>
        <v>https://rmda.kulib.kyoto-u.ac.jp/item/rb00002938?page=241</v>
      </c>
      <c r="E3833" s="22"/>
      <c r="F3833" s="22"/>
      <c r="G3833" s="22"/>
    </row>
    <row r="3834" spans="1:7" x14ac:dyDescent="0.15">
      <c r="A3834" s="41" t="s">
        <v>9307</v>
      </c>
      <c r="B3834" s="25" t="s">
        <v>10960</v>
      </c>
      <c r="C3834" s="19" t="s">
        <v>10961</v>
      </c>
      <c r="D3834" s="42" t="str">
        <f>HYPERLINK("https://rmda.kulib.kyoto-u.ac.jp/item/rb00002938?page=241")</f>
        <v>https://rmda.kulib.kyoto-u.ac.jp/item/rb00002938?page=241</v>
      </c>
      <c r="E3834" s="22"/>
      <c r="F3834" s="22"/>
      <c r="G3834" s="22"/>
    </row>
    <row r="3835" spans="1:7" x14ac:dyDescent="0.15">
      <c r="A3835" s="41" t="s">
        <v>9307</v>
      </c>
      <c r="B3835" s="25" t="s">
        <v>10962</v>
      </c>
      <c r="C3835" s="19" t="s">
        <v>10963</v>
      </c>
      <c r="D3835" s="42" t="str">
        <f>HYPERLINK("https://rmda.kulib.kyoto-u.ac.jp/item/rb00002938?page=241")</f>
        <v>https://rmda.kulib.kyoto-u.ac.jp/item/rb00002938?page=241</v>
      </c>
      <c r="E3835" s="22"/>
      <c r="F3835" s="22"/>
      <c r="G3835" s="22"/>
    </row>
    <row r="3836" spans="1:7" x14ac:dyDescent="0.15">
      <c r="A3836" s="41" t="s">
        <v>9307</v>
      </c>
      <c r="B3836" s="25" t="s">
        <v>10964</v>
      </c>
      <c r="C3836" s="19" t="s">
        <v>10965</v>
      </c>
      <c r="D3836" s="42" t="str">
        <f t="shared" ref="D3836:D3842" si="275">HYPERLINK("https://rmda.kulib.kyoto-u.ac.jp/item/rb00002938?page=242")</f>
        <v>https://rmda.kulib.kyoto-u.ac.jp/item/rb00002938?page=242</v>
      </c>
      <c r="E3836" s="22"/>
      <c r="F3836" s="22"/>
      <c r="G3836" s="22"/>
    </row>
    <row r="3837" spans="1:7" x14ac:dyDescent="0.15">
      <c r="A3837" s="41" t="s">
        <v>9307</v>
      </c>
      <c r="B3837" s="25" t="s">
        <v>10966</v>
      </c>
      <c r="C3837" s="19" t="s">
        <v>10967</v>
      </c>
      <c r="D3837" s="42" t="str">
        <f t="shared" si="275"/>
        <v>https://rmda.kulib.kyoto-u.ac.jp/item/rb00002938?page=242</v>
      </c>
      <c r="E3837" s="22"/>
      <c r="F3837" s="22"/>
      <c r="G3837" s="22"/>
    </row>
    <row r="3838" spans="1:7" x14ac:dyDescent="0.15">
      <c r="A3838" s="41" t="s">
        <v>9307</v>
      </c>
      <c r="B3838" s="25" t="s">
        <v>10968</v>
      </c>
      <c r="C3838" s="19" t="s">
        <v>10969</v>
      </c>
      <c r="D3838" s="42" t="str">
        <f t="shared" si="275"/>
        <v>https://rmda.kulib.kyoto-u.ac.jp/item/rb00002938?page=242</v>
      </c>
      <c r="E3838" s="22"/>
      <c r="F3838" s="22"/>
      <c r="G3838" s="22"/>
    </row>
    <row r="3839" spans="1:7" x14ac:dyDescent="0.15">
      <c r="A3839" s="41" t="s">
        <v>9307</v>
      </c>
      <c r="B3839" s="25" t="s">
        <v>10970</v>
      </c>
      <c r="C3839" s="19" t="s">
        <v>10971</v>
      </c>
      <c r="D3839" s="42" t="str">
        <f t="shared" si="275"/>
        <v>https://rmda.kulib.kyoto-u.ac.jp/item/rb00002938?page=242</v>
      </c>
      <c r="E3839" s="22"/>
      <c r="F3839" s="22"/>
      <c r="G3839" s="22"/>
    </row>
    <row r="3840" spans="1:7" x14ac:dyDescent="0.15">
      <c r="A3840" s="41" t="s">
        <v>9307</v>
      </c>
      <c r="B3840" s="25" t="s">
        <v>10972</v>
      </c>
      <c r="C3840" s="19" t="s">
        <v>10973</v>
      </c>
      <c r="D3840" s="42" t="str">
        <f t="shared" si="275"/>
        <v>https://rmda.kulib.kyoto-u.ac.jp/item/rb00002938?page=242</v>
      </c>
      <c r="E3840" s="22"/>
      <c r="F3840" s="22"/>
      <c r="G3840" s="22"/>
    </row>
    <row r="3841" spans="1:7" x14ac:dyDescent="0.15">
      <c r="A3841" s="41" t="s">
        <v>9307</v>
      </c>
      <c r="B3841" s="25" t="s">
        <v>10974</v>
      </c>
      <c r="C3841" s="19" t="s">
        <v>10975</v>
      </c>
      <c r="D3841" s="42" t="str">
        <f t="shared" si="275"/>
        <v>https://rmda.kulib.kyoto-u.ac.jp/item/rb00002938?page=242</v>
      </c>
      <c r="E3841" s="22"/>
      <c r="F3841" s="22"/>
      <c r="G3841" s="22"/>
    </row>
    <row r="3842" spans="1:7" x14ac:dyDescent="0.15">
      <c r="A3842" s="41" t="s">
        <v>9307</v>
      </c>
      <c r="B3842" s="25" t="s">
        <v>10976</v>
      </c>
      <c r="C3842" s="19" t="s">
        <v>10977</v>
      </c>
      <c r="D3842" s="42" t="str">
        <f t="shared" si="275"/>
        <v>https://rmda.kulib.kyoto-u.ac.jp/item/rb00002938?page=242</v>
      </c>
      <c r="E3842" s="22"/>
      <c r="F3842" s="22"/>
      <c r="G3842" s="22"/>
    </row>
    <row r="3843" spans="1:7" x14ac:dyDescent="0.15">
      <c r="A3843" s="41" t="s">
        <v>9307</v>
      </c>
      <c r="B3843" s="25" t="s">
        <v>10978</v>
      </c>
      <c r="C3843" s="19" t="s">
        <v>10979</v>
      </c>
      <c r="D3843" s="42" t="str">
        <f t="shared" ref="D3843:D3850" si="276">HYPERLINK("https://rmda.kulib.kyoto-u.ac.jp/item/rb00002938?page=243")</f>
        <v>https://rmda.kulib.kyoto-u.ac.jp/item/rb00002938?page=243</v>
      </c>
      <c r="E3843" s="22"/>
      <c r="F3843" s="22"/>
      <c r="G3843" s="22"/>
    </row>
    <row r="3844" spans="1:7" x14ac:dyDescent="0.15">
      <c r="A3844" s="41" t="s">
        <v>9307</v>
      </c>
      <c r="B3844" s="25" t="s">
        <v>10980</v>
      </c>
      <c r="C3844" s="19" t="s">
        <v>10981</v>
      </c>
      <c r="D3844" s="42" t="str">
        <f t="shared" si="276"/>
        <v>https://rmda.kulib.kyoto-u.ac.jp/item/rb00002938?page=243</v>
      </c>
      <c r="E3844" s="22"/>
      <c r="F3844" s="22"/>
      <c r="G3844" s="22"/>
    </row>
    <row r="3845" spans="1:7" x14ac:dyDescent="0.15">
      <c r="A3845" s="41" t="s">
        <v>9307</v>
      </c>
      <c r="B3845" s="25" t="s">
        <v>10982</v>
      </c>
      <c r="C3845" s="19" t="s">
        <v>10983</v>
      </c>
      <c r="D3845" s="42" t="str">
        <f t="shared" si="276"/>
        <v>https://rmda.kulib.kyoto-u.ac.jp/item/rb00002938?page=243</v>
      </c>
      <c r="E3845" s="22"/>
      <c r="F3845" s="22"/>
      <c r="G3845" s="22"/>
    </row>
    <row r="3846" spans="1:7" x14ac:dyDescent="0.15">
      <c r="A3846" s="41" t="s">
        <v>9307</v>
      </c>
      <c r="B3846" s="25" t="s">
        <v>10984</v>
      </c>
      <c r="C3846" s="19" t="s">
        <v>10985</v>
      </c>
      <c r="D3846" s="42" t="str">
        <f t="shared" si="276"/>
        <v>https://rmda.kulib.kyoto-u.ac.jp/item/rb00002938?page=243</v>
      </c>
      <c r="E3846" s="22"/>
      <c r="F3846" s="22"/>
      <c r="G3846" s="22"/>
    </row>
    <row r="3847" spans="1:7" x14ac:dyDescent="0.15">
      <c r="A3847" s="41" t="s">
        <v>9307</v>
      </c>
      <c r="B3847" s="25" t="s">
        <v>10986</v>
      </c>
      <c r="C3847" s="19" t="s">
        <v>10987</v>
      </c>
      <c r="D3847" s="42" t="str">
        <f t="shared" si="276"/>
        <v>https://rmda.kulib.kyoto-u.ac.jp/item/rb00002938?page=243</v>
      </c>
      <c r="E3847" s="22"/>
      <c r="F3847" s="22"/>
      <c r="G3847" s="22"/>
    </row>
    <row r="3848" spans="1:7" x14ac:dyDescent="0.15">
      <c r="A3848" s="41" t="s">
        <v>9307</v>
      </c>
      <c r="B3848" s="25" t="s">
        <v>10988</v>
      </c>
      <c r="C3848" s="19" t="s">
        <v>10989</v>
      </c>
      <c r="D3848" s="42" t="str">
        <f t="shared" si="276"/>
        <v>https://rmda.kulib.kyoto-u.ac.jp/item/rb00002938?page=243</v>
      </c>
      <c r="E3848" s="22"/>
      <c r="F3848" s="22"/>
      <c r="G3848" s="22"/>
    </row>
    <row r="3849" spans="1:7" x14ac:dyDescent="0.15">
      <c r="A3849" s="41" t="s">
        <v>9307</v>
      </c>
      <c r="B3849" s="25" t="s">
        <v>10990</v>
      </c>
      <c r="C3849" s="19" t="s">
        <v>10991</v>
      </c>
      <c r="D3849" s="42" t="str">
        <f t="shared" si="276"/>
        <v>https://rmda.kulib.kyoto-u.ac.jp/item/rb00002938?page=243</v>
      </c>
      <c r="E3849" s="22"/>
      <c r="F3849" s="22"/>
      <c r="G3849" s="22"/>
    </row>
    <row r="3850" spans="1:7" x14ac:dyDescent="0.15">
      <c r="A3850" s="41" t="s">
        <v>9307</v>
      </c>
      <c r="B3850" s="25" t="s">
        <v>10992</v>
      </c>
      <c r="C3850" s="19" t="s">
        <v>10993</v>
      </c>
      <c r="D3850" s="42" t="str">
        <f t="shared" si="276"/>
        <v>https://rmda.kulib.kyoto-u.ac.jp/item/rb00002938?page=243</v>
      </c>
      <c r="E3850" s="22"/>
      <c r="F3850" s="22"/>
      <c r="G3850" s="22"/>
    </row>
    <row r="3851" spans="1:7" x14ac:dyDescent="0.15">
      <c r="A3851" s="41" t="s">
        <v>9307</v>
      </c>
      <c r="B3851" s="25" t="s">
        <v>10994</v>
      </c>
      <c r="C3851" s="19" t="s">
        <v>10995</v>
      </c>
      <c r="D3851" s="42" t="str">
        <f t="shared" ref="D3851:D3856" si="277">HYPERLINK("https://rmda.kulib.kyoto-u.ac.jp/item/rb00002938?page=244")</f>
        <v>https://rmda.kulib.kyoto-u.ac.jp/item/rb00002938?page=244</v>
      </c>
      <c r="E3851" s="22"/>
      <c r="F3851" s="22"/>
      <c r="G3851" s="22"/>
    </row>
    <row r="3852" spans="1:7" x14ac:dyDescent="0.15">
      <c r="A3852" s="41" t="s">
        <v>9307</v>
      </c>
      <c r="B3852" s="25" t="s">
        <v>10996</v>
      </c>
      <c r="C3852" s="19" t="s">
        <v>10997</v>
      </c>
      <c r="D3852" s="42" t="str">
        <f t="shared" si="277"/>
        <v>https://rmda.kulib.kyoto-u.ac.jp/item/rb00002938?page=244</v>
      </c>
      <c r="E3852" s="22"/>
      <c r="F3852" s="22"/>
      <c r="G3852" s="22"/>
    </row>
    <row r="3853" spans="1:7" x14ac:dyDescent="0.15">
      <c r="A3853" s="41" t="s">
        <v>9307</v>
      </c>
      <c r="B3853" s="25" t="s">
        <v>10998</v>
      </c>
      <c r="C3853" s="19" t="s">
        <v>10999</v>
      </c>
      <c r="D3853" s="42" t="str">
        <f t="shared" si="277"/>
        <v>https://rmda.kulib.kyoto-u.ac.jp/item/rb00002938?page=244</v>
      </c>
      <c r="E3853" s="22"/>
      <c r="F3853" s="22"/>
      <c r="G3853" s="22"/>
    </row>
    <row r="3854" spans="1:7" x14ac:dyDescent="0.15">
      <c r="A3854" s="41" t="s">
        <v>9307</v>
      </c>
      <c r="B3854" s="25" t="s">
        <v>11000</v>
      </c>
      <c r="C3854" s="19" t="s">
        <v>11001</v>
      </c>
      <c r="D3854" s="42" t="str">
        <f t="shared" si="277"/>
        <v>https://rmda.kulib.kyoto-u.ac.jp/item/rb00002938?page=244</v>
      </c>
      <c r="E3854" s="22"/>
      <c r="F3854" s="22"/>
      <c r="G3854" s="22"/>
    </row>
    <row r="3855" spans="1:7" x14ac:dyDescent="0.15">
      <c r="A3855" s="41" t="s">
        <v>9307</v>
      </c>
      <c r="B3855" s="25" t="s">
        <v>11002</v>
      </c>
      <c r="C3855" s="19" t="s">
        <v>11003</v>
      </c>
      <c r="D3855" s="42" t="str">
        <f t="shared" si="277"/>
        <v>https://rmda.kulib.kyoto-u.ac.jp/item/rb00002938?page=244</v>
      </c>
      <c r="E3855" s="22"/>
      <c r="F3855" s="22"/>
      <c r="G3855" s="22"/>
    </row>
    <row r="3856" spans="1:7" x14ac:dyDescent="0.15">
      <c r="A3856" s="41" t="s">
        <v>9307</v>
      </c>
      <c r="B3856" s="25" t="s">
        <v>11004</v>
      </c>
      <c r="C3856" s="19" t="s">
        <v>11005</v>
      </c>
      <c r="D3856" s="42" t="str">
        <f t="shared" si="277"/>
        <v>https://rmda.kulib.kyoto-u.ac.jp/item/rb00002938?page=244</v>
      </c>
      <c r="E3856" s="22"/>
      <c r="F3856" s="22"/>
      <c r="G3856" s="22"/>
    </row>
    <row r="3857" spans="1:7" x14ac:dyDescent="0.15">
      <c r="A3857" s="41" t="s">
        <v>9307</v>
      </c>
      <c r="B3857" s="25" t="s">
        <v>11006</v>
      </c>
      <c r="C3857" s="19" t="s">
        <v>11007</v>
      </c>
      <c r="D3857" s="42" t="str">
        <f>HYPERLINK("https://rmda.kulib.kyoto-u.ac.jp/item/rb00002938?page=245")</f>
        <v>https://rmda.kulib.kyoto-u.ac.jp/item/rb00002938?page=245</v>
      </c>
      <c r="E3857" s="22"/>
      <c r="F3857" s="22"/>
      <c r="G3857" s="22"/>
    </row>
    <row r="3858" spans="1:7" x14ac:dyDescent="0.15">
      <c r="A3858" s="41" t="s">
        <v>9307</v>
      </c>
      <c r="B3858" s="25" t="s">
        <v>11008</v>
      </c>
      <c r="C3858" s="19" t="s">
        <v>11009</v>
      </c>
      <c r="D3858" s="42" t="str">
        <f>HYPERLINK("https://rmda.kulib.kyoto-u.ac.jp/item/rb00002938?page=246")</f>
        <v>https://rmda.kulib.kyoto-u.ac.jp/item/rb00002938?page=246</v>
      </c>
      <c r="E3858" s="22"/>
      <c r="F3858" s="22"/>
      <c r="G3858" s="22"/>
    </row>
    <row r="3859" spans="1:7" x14ac:dyDescent="0.15">
      <c r="A3859" s="41" t="s">
        <v>9307</v>
      </c>
      <c r="B3859" s="25" t="s">
        <v>11010</v>
      </c>
      <c r="C3859" s="19" t="s">
        <v>11011</v>
      </c>
      <c r="D3859" s="42" t="str">
        <f>HYPERLINK("https://rmda.kulib.kyoto-u.ac.jp/item/rb00002938?page=246")</f>
        <v>https://rmda.kulib.kyoto-u.ac.jp/item/rb00002938?page=246</v>
      </c>
      <c r="E3859" s="22"/>
      <c r="F3859" s="22"/>
      <c r="G3859" s="22"/>
    </row>
    <row r="3860" spans="1:7" x14ac:dyDescent="0.15">
      <c r="A3860" s="41" t="s">
        <v>9307</v>
      </c>
      <c r="B3860" s="25" t="s">
        <v>11012</v>
      </c>
      <c r="C3860" s="19" t="s">
        <v>11013</v>
      </c>
      <c r="D3860" s="42" t="str">
        <f>HYPERLINK("https://rmda.kulib.kyoto-u.ac.jp/item/rb00002938?page=246")</f>
        <v>https://rmda.kulib.kyoto-u.ac.jp/item/rb00002938?page=246</v>
      </c>
      <c r="E3860" s="22"/>
      <c r="F3860" s="22"/>
      <c r="G3860" s="22"/>
    </row>
    <row r="3861" spans="1:7" x14ac:dyDescent="0.15">
      <c r="A3861" s="41" t="s">
        <v>9307</v>
      </c>
      <c r="B3861" s="25" t="s">
        <v>11014</v>
      </c>
      <c r="C3861" s="19" t="s">
        <v>11015</v>
      </c>
      <c r="D3861" s="42" t="str">
        <f>HYPERLINK("https://rmda.kulib.kyoto-u.ac.jp/item/rb00002938?page=246")</f>
        <v>https://rmda.kulib.kyoto-u.ac.jp/item/rb00002938?page=246</v>
      </c>
      <c r="E3861" s="22"/>
      <c r="F3861" s="22"/>
      <c r="G3861" s="22"/>
    </row>
    <row r="3862" spans="1:7" x14ac:dyDescent="0.15">
      <c r="A3862" s="41" t="s">
        <v>9307</v>
      </c>
      <c r="B3862" s="25" t="s">
        <v>11016</v>
      </c>
      <c r="C3862" s="19" t="s">
        <v>11017</v>
      </c>
      <c r="D3862" s="42" t="str">
        <f t="shared" ref="D3862:D3867" si="278">HYPERLINK("https://rmda.kulib.kyoto-u.ac.jp/item/rb00002938?page=247")</f>
        <v>https://rmda.kulib.kyoto-u.ac.jp/item/rb00002938?page=247</v>
      </c>
      <c r="E3862" s="22"/>
      <c r="F3862" s="22"/>
      <c r="G3862" s="22"/>
    </row>
    <row r="3863" spans="1:7" x14ac:dyDescent="0.15">
      <c r="A3863" s="41" t="s">
        <v>9307</v>
      </c>
      <c r="B3863" s="25" t="s">
        <v>11018</v>
      </c>
      <c r="C3863" s="19" t="s">
        <v>11019</v>
      </c>
      <c r="D3863" s="42" t="str">
        <f t="shared" si="278"/>
        <v>https://rmda.kulib.kyoto-u.ac.jp/item/rb00002938?page=247</v>
      </c>
      <c r="E3863" s="22"/>
      <c r="F3863" s="22"/>
      <c r="G3863" s="22"/>
    </row>
    <row r="3864" spans="1:7" x14ac:dyDescent="0.15">
      <c r="A3864" s="41" t="s">
        <v>9307</v>
      </c>
      <c r="B3864" s="25" t="s">
        <v>11020</v>
      </c>
      <c r="C3864" s="19" t="s">
        <v>11021</v>
      </c>
      <c r="D3864" s="42" t="str">
        <f t="shared" si="278"/>
        <v>https://rmda.kulib.kyoto-u.ac.jp/item/rb00002938?page=247</v>
      </c>
      <c r="E3864" s="22"/>
      <c r="F3864" s="22"/>
      <c r="G3864" s="22"/>
    </row>
    <row r="3865" spans="1:7" x14ac:dyDescent="0.15">
      <c r="A3865" s="41" t="s">
        <v>9307</v>
      </c>
      <c r="B3865" s="25" t="s">
        <v>11022</v>
      </c>
      <c r="C3865" s="19" t="s">
        <v>11023</v>
      </c>
      <c r="D3865" s="42" t="str">
        <f t="shared" si="278"/>
        <v>https://rmda.kulib.kyoto-u.ac.jp/item/rb00002938?page=247</v>
      </c>
      <c r="E3865" s="22"/>
      <c r="F3865" s="22"/>
      <c r="G3865" s="22"/>
    </row>
    <row r="3866" spans="1:7" x14ac:dyDescent="0.15">
      <c r="A3866" s="41" t="s">
        <v>9307</v>
      </c>
      <c r="B3866" s="25" t="s">
        <v>11024</v>
      </c>
      <c r="C3866" s="19" t="s">
        <v>11025</v>
      </c>
      <c r="D3866" s="42" t="str">
        <f t="shared" si="278"/>
        <v>https://rmda.kulib.kyoto-u.ac.jp/item/rb00002938?page=247</v>
      </c>
      <c r="E3866" s="22"/>
      <c r="F3866" s="22"/>
      <c r="G3866" s="22"/>
    </row>
    <row r="3867" spans="1:7" x14ac:dyDescent="0.15">
      <c r="A3867" s="41" t="s">
        <v>9307</v>
      </c>
      <c r="B3867" s="25" t="s">
        <v>11026</v>
      </c>
      <c r="C3867" s="19" t="s">
        <v>11027</v>
      </c>
      <c r="D3867" s="42" t="str">
        <f t="shared" si="278"/>
        <v>https://rmda.kulib.kyoto-u.ac.jp/item/rb00002938?page=247</v>
      </c>
      <c r="E3867" s="22"/>
      <c r="F3867" s="22"/>
      <c r="G3867" s="22"/>
    </row>
    <row r="3868" spans="1:7" x14ac:dyDescent="0.15">
      <c r="A3868" s="41" t="s">
        <v>9307</v>
      </c>
      <c r="B3868" s="25" t="s">
        <v>11028</v>
      </c>
      <c r="C3868" s="19" t="s">
        <v>11029</v>
      </c>
      <c r="D3868" s="42" t="str">
        <f>HYPERLINK("https://rmda.kulib.kyoto-u.ac.jp/item/rb00002938?page=248")</f>
        <v>https://rmda.kulib.kyoto-u.ac.jp/item/rb00002938?page=248</v>
      </c>
      <c r="E3868" s="22"/>
      <c r="F3868" s="22"/>
      <c r="G3868" s="22"/>
    </row>
    <row r="3869" spans="1:7" x14ac:dyDescent="0.15">
      <c r="A3869" s="41" t="s">
        <v>9307</v>
      </c>
      <c r="B3869" s="25" t="s">
        <v>11030</v>
      </c>
      <c r="C3869" s="19" t="s">
        <v>11031</v>
      </c>
      <c r="D3869" s="42" t="str">
        <f>HYPERLINK("https://rmda.kulib.kyoto-u.ac.jp/item/rb00002938?page=248")</f>
        <v>https://rmda.kulib.kyoto-u.ac.jp/item/rb00002938?page=248</v>
      </c>
      <c r="E3869" s="22"/>
      <c r="F3869" s="22"/>
      <c r="G3869" s="22"/>
    </row>
    <row r="3870" spans="1:7" x14ac:dyDescent="0.15">
      <c r="A3870" s="41" t="s">
        <v>9307</v>
      </c>
      <c r="B3870" s="25" t="s">
        <v>11032</v>
      </c>
      <c r="C3870" s="19" t="s">
        <v>11033</v>
      </c>
      <c r="D3870" s="42" t="str">
        <f>HYPERLINK("https://rmda.kulib.kyoto-u.ac.jp/item/rb00002938?page=248")</f>
        <v>https://rmda.kulib.kyoto-u.ac.jp/item/rb00002938?page=248</v>
      </c>
      <c r="E3870" s="22"/>
      <c r="F3870" s="22"/>
      <c r="G3870" s="22"/>
    </row>
    <row r="3871" spans="1:7" x14ac:dyDescent="0.15">
      <c r="A3871" s="41" t="s">
        <v>9307</v>
      </c>
      <c r="B3871" s="25" t="s">
        <v>11034</v>
      </c>
      <c r="C3871" s="19" t="s">
        <v>11035</v>
      </c>
      <c r="D3871" s="42" t="str">
        <f>HYPERLINK("https://rmda.kulib.kyoto-u.ac.jp/item/rb00002938?page=248")</f>
        <v>https://rmda.kulib.kyoto-u.ac.jp/item/rb00002938?page=248</v>
      </c>
      <c r="E3871" s="22"/>
      <c r="F3871" s="22"/>
      <c r="G3871" s="22"/>
    </row>
    <row r="3872" spans="1:7" x14ac:dyDescent="0.15">
      <c r="A3872" s="41" t="s">
        <v>9307</v>
      </c>
      <c r="B3872" s="25" t="s">
        <v>11036</v>
      </c>
      <c r="C3872" s="19" t="s">
        <v>11037</v>
      </c>
      <c r="D3872" s="42" t="str">
        <f>HYPERLINK("https://rmda.kulib.kyoto-u.ac.jp/item/rb00002938?page=249")</f>
        <v>https://rmda.kulib.kyoto-u.ac.jp/item/rb00002938?page=249</v>
      </c>
      <c r="E3872" s="22"/>
      <c r="F3872" s="22"/>
      <c r="G3872" s="22"/>
    </row>
    <row r="3873" spans="1:7" x14ac:dyDescent="0.15">
      <c r="A3873" s="41" t="s">
        <v>9307</v>
      </c>
      <c r="B3873" s="25" t="s">
        <v>11038</v>
      </c>
      <c r="C3873" s="19" t="s">
        <v>11039</v>
      </c>
      <c r="D3873" s="42" t="str">
        <f>HYPERLINK("https://rmda.kulib.kyoto-u.ac.jp/item/rb00002938?page=249")</f>
        <v>https://rmda.kulib.kyoto-u.ac.jp/item/rb00002938?page=249</v>
      </c>
      <c r="E3873" s="22"/>
      <c r="F3873" s="22"/>
      <c r="G3873" s="22"/>
    </row>
    <row r="3874" spans="1:7" x14ac:dyDescent="0.15">
      <c r="A3874" s="41" t="s">
        <v>9307</v>
      </c>
      <c r="B3874" s="25" t="s">
        <v>11040</v>
      </c>
      <c r="C3874" s="19" t="s">
        <v>11041</v>
      </c>
      <c r="D3874" s="42" t="str">
        <f>HYPERLINK("https://rmda.kulib.kyoto-u.ac.jp/item/rb00002938?page=249")</f>
        <v>https://rmda.kulib.kyoto-u.ac.jp/item/rb00002938?page=249</v>
      </c>
      <c r="E3874" s="22"/>
      <c r="F3874" s="22"/>
      <c r="G3874" s="22"/>
    </row>
    <row r="3875" spans="1:7" x14ac:dyDescent="0.15">
      <c r="A3875" s="41" t="s">
        <v>9307</v>
      </c>
      <c r="B3875" s="25" t="s">
        <v>11042</v>
      </c>
      <c r="C3875" s="19" t="s">
        <v>11043</v>
      </c>
      <c r="D3875" s="42" t="str">
        <f>HYPERLINK("https://rmda.kulib.kyoto-u.ac.jp/item/rb00002938?page=249")</f>
        <v>https://rmda.kulib.kyoto-u.ac.jp/item/rb00002938?page=249</v>
      </c>
      <c r="E3875" s="22"/>
      <c r="F3875" s="22"/>
      <c r="G3875" s="22"/>
    </row>
    <row r="3876" spans="1:7" x14ac:dyDescent="0.15">
      <c r="A3876" s="41" t="s">
        <v>9307</v>
      </c>
      <c r="B3876" s="25" t="s">
        <v>11044</v>
      </c>
      <c r="C3876" s="19" t="s">
        <v>11045</v>
      </c>
      <c r="D3876" s="42" t="str">
        <f>HYPERLINK("https://rmda.kulib.kyoto-u.ac.jp/item/rb00002938?page=249")</f>
        <v>https://rmda.kulib.kyoto-u.ac.jp/item/rb00002938?page=249</v>
      </c>
      <c r="E3876" s="22"/>
      <c r="F3876" s="22"/>
      <c r="G3876" s="22"/>
    </row>
    <row r="3877" spans="1:7" x14ac:dyDescent="0.15">
      <c r="A3877" s="41" t="s">
        <v>9307</v>
      </c>
      <c r="B3877" s="25" t="s">
        <v>11046</v>
      </c>
      <c r="C3877" s="19" t="s">
        <v>11047</v>
      </c>
      <c r="D3877" s="42" t="str">
        <f>HYPERLINK("https://rmda.kulib.kyoto-u.ac.jp/item/rb00002938?page=250")</f>
        <v>https://rmda.kulib.kyoto-u.ac.jp/item/rb00002938?page=250</v>
      </c>
      <c r="E3877" s="22"/>
      <c r="F3877" s="22"/>
      <c r="G3877" s="22"/>
    </row>
    <row r="3878" spans="1:7" x14ac:dyDescent="0.15">
      <c r="A3878" s="41" t="s">
        <v>9307</v>
      </c>
      <c r="B3878" s="25" t="s">
        <v>11048</v>
      </c>
      <c r="C3878" s="19" t="s">
        <v>11049</v>
      </c>
      <c r="D3878" s="42" t="str">
        <f>HYPERLINK("https://rmda.kulib.kyoto-u.ac.jp/item/rb00002938?page=250")</f>
        <v>https://rmda.kulib.kyoto-u.ac.jp/item/rb00002938?page=250</v>
      </c>
      <c r="E3878" s="22"/>
      <c r="F3878" s="22"/>
      <c r="G3878" s="22"/>
    </row>
    <row r="3879" spans="1:7" x14ac:dyDescent="0.15">
      <c r="A3879" s="41" t="s">
        <v>9307</v>
      </c>
      <c r="B3879" s="25" t="s">
        <v>11050</v>
      </c>
      <c r="C3879" s="19" t="s">
        <v>11051</v>
      </c>
      <c r="D3879" s="42" t="str">
        <f>HYPERLINK("https://rmda.kulib.kyoto-u.ac.jp/item/rb00002938?page=250")</f>
        <v>https://rmda.kulib.kyoto-u.ac.jp/item/rb00002938?page=250</v>
      </c>
      <c r="E3879" s="22"/>
      <c r="F3879" s="22"/>
      <c r="G3879" s="22"/>
    </row>
    <row r="3880" spans="1:7" x14ac:dyDescent="0.15">
      <c r="A3880" s="41" t="s">
        <v>9307</v>
      </c>
      <c r="B3880" s="25" t="s">
        <v>11052</v>
      </c>
      <c r="C3880" s="19" t="s">
        <v>11053</v>
      </c>
      <c r="D3880" s="42" t="str">
        <f t="shared" ref="D3880:D3885" si="279">HYPERLINK("https://rmda.kulib.kyoto-u.ac.jp/item/rb00002938?page=251")</f>
        <v>https://rmda.kulib.kyoto-u.ac.jp/item/rb00002938?page=251</v>
      </c>
      <c r="E3880" s="22"/>
      <c r="F3880" s="22"/>
      <c r="G3880" s="22"/>
    </row>
    <row r="3881" spans="1:7" x14ac:dyDescent="0.15">
      <c r="A3881" s="41" t="s">
        <v>9307</v>
      </c>
      <c r="B3881" s="25" t="s">
        <v>11054</v>
      </c>
      <c r="C3881" s="19" t="s">
        <v>11055</v>
      </c>
      <c r="D3881" s="42" t="str">
        <f t="shared" si="279"/>
        <v>https://rmda.kulib.kyoto-u.ac.jp/item/rb00002938?page=251</v>
      </c>
      <c r="E3881" s="22"/>
      <c r="F3881" s="22"/>
      <c r="G3881" s="22"/>
    </row>
    <row r="3882" spans="1:7" x14ac:dyDescent="0.15">
      <c r="A3882" s="41" t="s">
        <v>9307</v>
      </c>
      <c r="B3882" s="25" t="s">
        <v>11056</v>
      </c>
      <c r="C3882" s="19" t="s">
        <v>11057</v>
      </c>
      <c r="D3882" s="42" t="str">
        <f t="shared" si="279"/>
        <v>https://rmda.kulib.kyoto-u.ac.jp/item/rb00002938?page=251</v>
      </c>
      <c r="E3882" s="22"/>
      <c r="F3882" s="22"/>
      <c r="G3882" s="22"/>
    </row>
    <row r="3883" spans="1:7" x14ac:dyDescent="0.15">
      <c r="A3883" s="41" t="s">
        <v>9307</v>
      </c>
      <c r="B3883" s="25" t="s">
        <v>11058</v>
      </c>
      <c r="C3883" s="19" t="s">
        <v>11059</v>
      </c>
      <c r="D3883" s="42" t="str">
        <f t="shared" si="279"/>
        <v>https://rmda.kulib.kyoto-u.ac.jp/item/rb00002938?page=251</v>
      </c>
      <c r="E3883" s="22"/>
      <c r="F3883" s="22"/>
      <c r="G3883" s="22"/>
    </row>
    <row r="3884" spans="1:7" x14ac:dyDescent="0.15">
      <c r="A3884" s="41" t="s">
        <v>9307</v>
      </c>
      <c r="B3884" s="25" t="s">
        <v>11060</v>
      </c>
      <c r="C3884" s="19" t="s">
        <v>11061</v>
      </c>
      <c r="D3884" s="42" t="str">
        <f t="shared" si="279"/>
        <v>https://rmda.kulib.kyoto-u.ac.jp/item/rb00002938?page=251</v>
      </c>
      <c r="E3884" s="22"/>
      <c r="F3884" s="22"/>
      <c r="G3884" s="22"/>
    </row>
    <row r="3885" spans="1:7" x14ac:dyDescent="0.15">
      <c r="A3885" s="41" t="s">
        <v>9307</v>
      </c>
      <c r="B3885" s="25" t="s">
        <v>11062</v>
      </c>
      <c r="C3885" s="19" t="s">
        <v>11063</v>
      </c>
      <c r="D3885" s="42" t="str">
        <f t="shared" si="279"/>
        <v>https://rmda.kulib.kyoto-u.ac.jp/item/rb00002938?page=251</v>
      </c>
      <c r="E3885" s="22"/>
      <c r="F3885" s="22"/>
      <c r="G3885" s="22"/>
    </row>
    <row r="3886" spans="1:7" x14ac:dyDescent="0.15">
      <c r="A3886" s="41" t="s">
        <v>9307</v>
      </c>
      <c r="B3886" s="25" t="s">
        <v>11064</v>
      </c>
      <c r="C3886" s="19" t="s">
        <v>11065</v>
      </c>
      <c r="D3886" s="42" t="str">
        <f t="shared" ref="D3886:D3893" si="280">HYPERLINK("https://rmda.kulib.kyoto-u.ac.jp/item/rb00002938?page=252")</f>
        <v>https://rmda.kulib.kyoto-u.ac.jp/item/rb00002938?page=252</v>
      </c>
      <c r="E3886" s="22"/>
      <c r="F3886" s="22"/>
      <c r="G3886" s="22"/>
    </row>
    <row r="3887" spans="1:7" x14ac:dyDescent="0.15">
      <c r="A3887" s="41" t="s">
        <v>9307</v>
      </c>
      <c r="B3887" s="25" t="s">
        <v>11066</v>
      </c>
      <c r="C3887" s="19" t="s">
        <v>11067</v>
      </c>
      <c r="D3887" s="42" t="str">
        <f t="shared" si="280"/>
        <v>https://rmda.kulib.kyoto-u.ac.jp/item/rb00002938?page=252</v>
      </c>
      <c r="E3887" s="22"/>
      <c r="F3887" s="22"/>
      <c r="G3887" s="22"/>
    </row>
    <row r="3888" spans="1:7" x14ac:dyDescent="0.15">
      <c r="A3888" s="41" t="s">
        <v>9307</v>
      </c>
      <c r="B3888" s="25" t="s">
        <v>11068</v>
      </c>
      <c r="C3888" s="19" t="s">
        <v>11069</v>
      </c>
      <c r="D3888" s="42" t="str">
        <f t="shared" si="280"/>
        <v>https://rmda.kulib.kyoto-u.ac.jp/item/rb00002938?page=252</v>
      </c>
      <c r="E3888" s="22"/>
      <c r="F3888" s="22"/>
      <c r="G3888" s="22"/>
    </row>
    <row r="3889" spans="1:7" x14ac:dyDescent="0.15">
      <c r="A3889" s="41" t="s">
        <v>9307</v>
      </c>
      <c r="B3889" s="25" t="s">
        <v>11070</v>
      </c>
      <c r="C3889" s="19" t="s">
        <v>11071</v>
      </c>
      <c r="D3889" s="42" t="str">
        <f t="shared" si="280"/>
        <v>https://rmda.kulib.kyoto-u.ac.jp/item/rb00002938?page=252</v>
      </c>
      <c r="E3889" s="22"/>
      <c r="F3889" s="22"/>
      <c r="G3889" s="22"/>
    </row>
    <row r="3890" spans="1:7" x14ac:dyDescent="0.15">
      <c r="A3890" s="41" t="s">
        <v>9307</v>
      </c>
      <c r="B3890" s="25" t="s">
        <v>11072</v>
      </c>
      <c r="C3890" s="19" t="s">
        <v>11073</v>
      </c>
      <c r="D3890" s="42" t="str">
        <f t="shared" si="280"/>
        <v>https://rmda.kulib.kyoto-u.ac.jp/item/rb00002938?page=252</v>
      </c>
      <c r="E3890" s="22"/>
      <c r="F3890" s="22"/>
      <c r="G3890" s="22"/>
    </row>
    <row r="3891" spans="1:7" x14ac:dyDescent="0.15">
      <c r="A3891" s="41" t="s">
        <v>9307</v>
      </c>
      <c r="B3891" s="25" t="s">
        <v>11074</v>
      </c>
      <c r="C3891" s="19" t="s">
        <v>11075</v>
      </c>
      <c r="D3891" s="42" t="str">
        <f t="shared" si="280"/>
        <v>https://rmda.kulib.kyoto-u.ac.jp/item/rb00002938?page=252</v>
      </c>
      <c r="E3891" s="22"/>
      <c r="F3891" s="22"/>
      <c r="G3891" s="22"/>
    </row>
    <row r="3892" spans="1:7" x14ac:dyDescent="0.15">
      <c r="A3892" s="41" t="s">
        <v>9307</v>
      </c>
      <c r="B3892" s="25" t="s">
        <v>11076</v>
      </c>
      <c r="C3892" s="19" t="s">
        <v>11077</v>
      </c>
      <c r="D3892" s="42" t="str">
        <f t="shared" si="280"/>
        <v>https://rmda.kulib.kyoto-u.ac.jp/item/rb00002938?page=252</v>
      </c>
      <c r="E3892" s="22"/>
      <c r="F3892" s="22"/>
      <c r="G3892" s="22"/>
    </row>
    <row r="3893" spans="1:7" x14ac:dyDescent="0.15">
      <c r="A3893" s="41" t="s">
        <v>9307</v>
      </c>
      <c r="B3893" s="25" t="s">
        <v>11078</v>
      </c>
      <c r="C3893" s="19" t="s">
        <v>11079</v>
      </c>
      <c r="D3893" s="42" t="str">
        <f t="shared" si="280"/>
        <v>https://rmda.kulib.kyoto-u.ac.jp/item/rb00002938?page=252</v>
      </c>
      <c r="E3893" s="22"/>
      <c r="F3893" s="22"/>
      <c r="G3893" s="22"/>
    </row>
    <row r="3894" spans="1:7" x14ac:dyDescent="0.15">
      <c r="A3894" s="41" t="s">
        <v>9307</v>
      </c>
      <c r="B3894" s="25" t="s">
        <v>11080</v>
      </c>
      <c r="C3894" s="19" t="s">
        <v>11081</v>
      </c>
      <c r="D3894" s="42" t="str">
        <f>HYPERLINK("https://rmda.kulib.kyoto-u.ac.jp/item/rb00002938?page=253")</f>
        <v>https://rmda.kulib.kyoto-u.ac.jp/item/rb00002938?page=253</v>
      </c>
      <c r="E3894" s="22"/>
      <c r="F3894" s="22"/>
      <c r="G3894" s="22"/>
    </row>
    <row r="3895" spans="1:7" x14ac:dyDescent="0.15">
      <c r="A3895" s="41" t="s">
        <v>9307</v>
      </c>
      <c r="B3895" s="25" t="s">
        <v>11082</v>
      </c>
      <c r="C3895" s="19" t="s">
        <v>11083</v>
      </c>
      <c r="D3895" s="42" t="str">
        <f>HYPERLINK("https://rmda.kulib.kyoto-u.ac.jp/item/rb00002938?page=253")</f>
        <v>https://rmda.kulib.kyoto-u.ac.jp/item/rb00002938?page=253</v>
      </c>
      <c r="E3895" s="22"/>
      <c r="F3895" s="22"/>
      <c r="G3895" s="22"/>
    </row>
    <row r="3896" spans="1:7" x14ac:dyDescent="0.15">
      <c r="A3896" s="41" t="s">
        <v>9307</v>
      </c>
      <c r="B3896" s="25" t="s">
        <v>11084</v>
      </c>
      <c r="C3896" s="19" t="s">
        <v>11085</v>
      </c>
      <c r="D3896" s="42" t="str">
        <f>HYPERLINK("https://rmda.kulib.kyoto-u.ac.jp/item/rb00002938?page=253")</f>
        <v>https://rmda.kulib.kyoto-u.ac.jp/item/rb00002938?page=253</v>
      </c>
      <c r="E3896" s="22"/>
      <c r="F3896" s="22"/>
      <c r="G3896" s="22"/>
    </row>
    <row r="3897" spans="1:7" x14ac:dyDescent="0.15">
      <c r="A3897" s="41" t="s">
        <v>9307</v>
      </c>
      <c r="B3897" s="25" t="s">
        <v>11086</v>
      </c>
      <c r="C3897" s="19" t="s">
        <v>11087</v>
      </c>
      <c r="D3897" s="42" t="str">
        <f>HYPERLINK("https://rmda.kulib.kyoto-u.ac.jp/item/rb00002938?page=253")</f>
        <v>https://rmda.kulib.kyoto-u.ac.jp/item/rb00002938?page=253</v>
      </c>
      <c r="E3897" s="22"/>
      <c r="F3897" s="22"/>
      <c r="G3897" s="22"/>
    </row>
    <row r="3898" spans="1:7" x14ac:dyDescent="0.15">
      <c r="A3898" s="41" t="s">
        <v>9307</v>
      </c>
      <c r="B3898" s="25" t="s">
        <v>11088</v>
      </c>
      <c r="C3898" s="19" t="s">
        <v>11089</v>
      </c>
      <c r="D3898" s="42" t="str">
        <f>HYPERLINK("https://rmda.kulib.kyoto-u.ac.jp/item/rb00002938?page=253")</f>
        <v>https://rmda.kulib.kyoto-u.ac.jp/item/rb00002938?page=253</v>
      </c>
      <c r="E3898" s="22"/>
      <c r="F3898" s="22"/>
      <c r="G3898" s="22"/>
    </row>
    <row r="3899" spans="1:7" x14ac:dyDescent="0.15">
      <c r="A3899" s="41" t="s">
        <v>9307</v>
      </c>
      <c r="B3899" s="25" t="s">
        <v>11090</v>
      </c>
      <c r="C3899" s="19" t="s">
        <v>11091</v>
      </c>
      <c r="D3899" s="42" t="str">
        <f t="shared" ref="D3899:D3905" si="281">HYPERLINK("https://rmda.kulib.kyoto-u.ac.jp/item/rb00002938?page=254")</f>
        <v>https://rmda.kulib.kyoto-u.ac.jp/item/rb00002938?page=254</v>
      </c>
      <c r="E3899" s="22"/>
      <c r="F3899" s="22"/>
      <c r="G3899" s="22"/>
    </row>
    <row r="3900" spans="1:7" x14ac:dyDescent="0.15">
      <c r="A3900" s="41" t="s">
        <v>9307</v>
      </c>
      <c r="B3900" s="25" t="s">
        <v>11092</v>
      </c>
      <c r="C3900" s="19" t="s">
        <v>11093</v>
      </c>
      <c r="D3900" s="42" t="str">
        <f t="shared" si="281"/>
        <v>https://rmda.kulib.kyoto-u.ac.jp/item/rb00002938?page=254</v>
      </c>
      <c r="E3900" s="22"/>
      <c r="F3900" s="22"/>
      <c r="G3900" s="22"/>
    </row>
    <row r="3901" spans="1:7" x14ac:dyDescent="0.15">
      <c r="A3901" s="41" t="s">
        <v>9307</v>
      </c>
      <c r="B3901" s="25" t="s">
        <v>11094</v>
      </c>
      <c r="C3901" s="19" t="s">
        <v>11095</v>
      </c>
      <c r="D3901" s="42" t="str">
        <f t="shared" si="281"/>
        <v>https://rmda.kulib.kyoto-u.ac.jp/item/rb00002938?page=254</v>
      </c>
      <c r="E3901" s="22"/>
      <c r="F3901" s="22"/>
      <c r="G3901" s="22"/>
    </row>
    <row r="3902" spans="1:7" x14ac:dyDescent="0.15">
      <c r="A3902" s="41" t="s">
        <v>9307</v>
      </c>
      <c r="B3902" s="25" t="s">
        <v>11096</v>
      </c>
      <c r="C3902" s="19" t="s">
        <v>11097</v>
      </c>
      <c r="D3902" s="42" t="str">
        <f t="shared" si="281"/>
        <v>https://rmda.kulib.kyoto-u.ac.jp/item/rb00002938?page=254</v>
      </c>
      <c r="E3902" s="22"/>
      <c r="F3902" s="22"/>
      <c r="G3902" s="22"/>
    </row>
    <row r="3903" spans="1:7" x14ac:dyDescent="0.15">
      <c r="A3903" s="41" t="s">
        <v>9307</v>
      </c>
      <c r="B3903" s="25" t="s">
        <v>11098</v>
      </c>
      <c r="C3903" s="19" t="s">
        <v>11099</v>
      </c>
      <c r="D3903" s="42" t="str">
        <f t="shared" si="281"/>
        <v>https://rmda.kulib.kyoto-u.ac.jp/item/rb00002938?page=254</v>
      </c>
      <c r="E3903" s="22"/>
      <c r="F3903" s="22"/>
      <c r="G3903" s="22"/>
    </row>
    <row r="3904" spans="1:7" x14ac:dyDescent="0.15">
      <c r="A3904" s="41" t="s">
        <v>9307</v>
      </c>
      <c r="B3904" s="25" t="s">
        <v>11100</v>
      </c>
      <c r="C3904" s="19" t="s">
        <v>11101</v>
      </c>
      <c r="D3904" s="42" t="str">
        <f t="shared" si="281"/>
        <v>https://rmda.kulib.kyoto-u.ac.jp/item/rb00002938?page=254</v>
      </c>
      <c r="E3904" s="22"/>
      <c r="F3904" s="22"/>
      <c r="G3904" s="22"/>
    </row>
    <row r="3905" spans="1:7" x14ac:dyDescent="0.15">
      <c r="A3905" s="41" t="s">
        <v>9307</v>
      </c>
      <c r="B3905" s="25" t="s">
        <v>11102</v>
      </c>
      <c r="C3905" s="19" t="s">
        <v>11103</v>
      </c>
      <c r="D3905" s="42" t="str">
        <f t="shared" si="281"/>
        <v>https://rmda.kulib.kyoto-u.ac.jp/item/rb00002938?page=254</v>
      </c>
      <c r="E3905" s="22"/>
      <c r="F3905" s="22"/>
      <c r="G3905" s="22"/>
    </row>
    <row r="3906" spans="1:7" x14ac:dyDescent="0.15">
      <c r="A3906" s="41" t="s">
        <v>9307</v>
      </c>
      <c r="B3906" s="25" t="s">
        <v>11104</v>
      </c>
      <c r="C3906" s="19" t="s">
        <v>11105</v>
      </c>
      <c r="D3906" s="42" t="str">
        <f>HYPERLINK("https://rmda.kulib.kyoto-u.ac.jp/item/rb00002938?page=255")</f>
        <v>https://rmda.kulib.kyoto-u.ac.jp/item/rb00002938?page=255</v>
      </c>
      <c r="E3906" s="22"/>
      <c r="F3906" s="22"/>
      <c r="G3906" s="22"/>
    </row>
    <row r="3907" spans="1:7" x14ac:dyDescent="0.15">
      <c r="A3907" s="41" t="s">
        <v>9307</v>
      </c>
      <c r="B3907" s="25" t="s">
        <v>11106</v>
      </c>
      <c r="C3907" s="19" t="s">
        <v>11107</v>
      </c>
      <c r="D3907" s="42" t="str">
        <f>HYPERLINK("https://rmda.kulib.kyoto-u.ac.jp/item/rb00002938?page=255")</f>
        <v>https://rmda.kulib.kyoto-u.ac.jp/item/rb00002938?page=255</v>
      </c>
      <c r="E3907" s="22"/>
      <c r="F3907" s="22"/>
      <c r="G3907" s="22"/>
    </row>
    <row r="3908" spans="1:7" x14ac:dyDescent="0.15">
      <c r="A3908" s="41" t="s">
        <v>9307</v>
      </c>
      <c r="B3908" s="25" t="s">
        <v>11108</v>
      </c>
      <c r="C3908" s="19" t="s">
        <v>11109</v>
      </c>
      <c r="D3908" s="42" t="str">
        <f>HYPERLINK("https://rmda.kulib.kyoto-u.ac.jp/item/rb00002938?page=255")</f>
        <v>https://rmda.kulib.kyoto-u.ac.jp/item/rb00002938?page=255</v>
      </c>
      <c r="E3908" s="22"/>
      <c r="F3908" s="22"/>
      <c r="G3908" s="22"/>
    </row>
    <row r="3909" spans="1:7" x14ac:dyDescent="0.15">
      <c r="A3909" s="41" t="s">
        <v>9307</v>
      </c>
      <c r="B3909" s="25" t="s">
        <v>11110</v>
      </c>
      <c r="C3909" s="19" t="s">
        <v>11111</v>
      </c>
      <c r="D3909" s="42" t="str">
        <f>HYPERLINK("https://rmda.kulib.kyoto-u.ac.jp/item/rb00002938?page=255")</f>
        <v>https://rmda.kulib.kyoto-u.ac.jp/item/rb00002938?page=255</v>
      </c>
      <c r="E3909" s="22"/>
      <c r="F3909" s="22"/>
      <c r="G3909" s="22"/>
    </row>
    <row r="3910" spans="1:7" x14ac:dyDescent="0.15">
      <c r="A3910" s="41" t="s">
        <v>9307</v>
      </c>
      <c r="B3910" s="25" t="s">
        <v>11112</v>
      </c>
      <c r="C3910" s="19" t="s">
        <v>11113</v>
      </c>
      <c r="D3910" s="42" t="str">
        <f>HYPERLINK("https://rmda.kulib.kyoto-u.ac.jp/item/rb00002938?page=255")</f>
        <v>https://rmda.kulib.kyoto-u.ac.jp/item/rb00002938?page=255</v>
      </c>
      <c r="E3910" s="22"/>
      <c r="F3910" s="22"/>
      <c r="G3910" s="22"/>
    </row>
    <row r="3911" spans="1:7" x14ac:dyDescent="0.15">
      <c r="A3911" s="41" t="s">
        <v>9307</v>
      </c>
      <c r="B3911" s="25" t="s">
        <v>11114</v>
      </c>
      <c r="C3911" s="19" t="s">
        <v>11115</v>
      </c>
      <c r="D3911" s="42" t="str">
        <f>HYPERLINK("https://rmda.kulib.kyoto-u.ac.jp/item/rb00002938?page=256")</f>
        <v>https://rmda.kulib.kyoto-u.ac.jp/item/rb00002938?page=256</v>
      </c>
      <c r="E3911" s="22"/>
      <c r="F3911" s="22"/>
      <c r="G3911" s="22"/>
    </row>
    <row r="3912" spans="1:7" x14ac:dyDescent="0.15">
      <c r="A3912" s="41" t="s">
        <v>9307</v>
      </c>
      <c r="B3912" s="25" t="s">
        <v>11116</v>
      </c>
      <c r="C3912" s="19" t="s">
        <v>11117</v>
      </c>
      <c r="D3912" s="42" t="str">
        <f>HYPERLINK("https://rmda.kulib.kyoto-u.ac.jp/item/rb00002938?page=256")</f>
        <v>https://rmda.kulib.kyoto-u.ac.jp/item/rb00002938?page=256</v>
      </c>
      <c r="E3912" s="22"/>
      <c r="F3912" s="22"/>
      <c r="G3912" s="22"/>
    </row>
    <row r="3913" spans="1:7" x14ac:dyDescent="0.15">
      <c r="A3913" s="41" t="s">
        <v>9307</v>
      </c>
      <c r="B3913" s="25" t="s">
        <v>11118</v>
      </c>
      <c r="C3913" s="19" t="s">
        <v>11119</v>
      </c>
      <c r="D3913" s="42" t="str">
        <f>HYPERLINK("https://rmda.kulib.kyoto-u.ac.jp/item/rb00002938?page=256")</f>
        <v>https://rmda.kulib.kyoto-u.ac.jp/item/rb00002938?page=256</v>
      </c>
      <c r="E3913" s="22"/>
      <c r="F3913" s="22"/>
      <c r="G3913" s="22"/>
    </row>
    <row r="3914" spans="1:7" x14ac:dyDescent="0.15">
      <c r="A3914" s="41" t="s">
        <v>9307</v>
      </c>
      <c r="B3914" s="25" t="s">
        <v>11120</v>
      </c>
      <c r="C3914" s="19" t="s">
        <v>11121</v>
      </c>
      <c r="D3914" s="42" t="str">
        <f>HYPERLINK("https://rmda.kulib.kyoto-u.ac.jp/item/rb00002938?page=256")</f>
        <v>https://rmda.kulib.kyoto-u.ac.jp/item/rb00002938?page=256</v>
      </c>
      <c r="E3914" s="22"/>
      <c r="F3914" s="22"/>
      <c r="G3914" s="22"/>
    </row>
    <row r="3915" spans="1:7" x14ac:dyDescent="0.15">
      <c r="A3915" s="41" t="s">
        <v>9307</v>
      </c>
      <c r="B3915" s="25" t="s">
        <v>11122</v>
      </c>
      <c r="C3915" s="19" t="s">
        <v>11123</v>
      </c>
      <c r="D3915" s="42" t="str">
        <f>HYPERLINK("https://rmda.kulib.kyoto-u.ac.jp/item/rb00002938?page=256")</f>
        <v>https://rmda.kulib.kyoto-u.ac.jp/item/rb00002938?page=256</v>
      </c>
      <c r="E3915" s="22"/>
      <c r="F3915" s="22"/>
      <c r="G3915" s="22"/>
    </row>
    <row r="3916" spans="1:7" x14ac:dyDescent="0.15">
      <c r="A3916" s="41" t="s">
        <v>9307</v>
      </c>
      <c r="B3916" s="25" t="s">
        <v>11124</v>
      </c>
      <c r="C3916" s="19" t="s">
        <v>11125</v>
      </c>
      <c r="D3916" s="42" t="str">
        <f t="shared" ref="D3916:D3924" si="282">HYPERLINK("https://rmda.kulib.kyoto-u.ac.jp/item/rb00002938?page=257")</f>
        <v>https://rmda.kulib.kyoto-u.ac.jp/item/rb00002938?page=257</v>
      </c>
      <c r="E3916" s="22"/>
      <c r="F3916" s="22"/>
      <c r="G3916" s="22"/>
    </row>
    <row r="3917" spans="1:7" x14ac:dyDescent="0.15">
      <c r="A3917" s="41" t="s">
        <v>9307</v>
      </c>
      <c r="B3917" s="25" t="s">
        <v>11126</v>
      </c>
      <c r="C3917" s="19" t="s">
        <v>11127</v>
      </c>
      <c r="D3917" s="42" t="str">
        <f t="shared" si="282"/>
        <v>https://rmda.kulib.kyoto-u.ac.jp/item/rb00002938?page=257</v>
      </c>
      <c r="E3917" s="22"/>
      <c r="F3917" s="22"/>
      <c r="G3917" s="22"/>
    </row>
    <row r="3918" spans="1:7" x14ac:dyDescent="0.15">
      <c r="A3918" s="41" t="s">
        <v>9307</v>
      </c>
      <c r="B3918" s="25" t="s">
        <v>11128</v>
      </c>
      <c r="C3918" s="19" t="s">
        <v>11129</v>
      </c>
      <c r="D3918" s="42" t="str">
        <f t="shared" si="282"/>
        <v>https://rmda.kulib.kyoto-u.ac.jp/item/rb00002938?page=257</v>
      </c>
      <c r="E3918" s="22"/>
      <c r="F3918" s="22"/>
      <c r="G3918" s="22"/>
    </row>
    <row r="3919" spans="1:7" x14ac:dyDescent="0.15">
      <c r="A3919" s="41" t="s">
        <v>9307</v>
      </c>
      <c r="B3919" s="25" t="s">
        <v>11130</v>
      </c>
      <c r="C3919" s="19" t="s">
        <v>11131</v>
      </c>
      <c r="D3919" s="42" t="str">
        <f t="shared" si="282"/>
        <v>https://rmda.kulib.kyoto-u.ac.jp/item/rb00002938?page=257</v>
      </c>
      <c r="E3919" s="22"/>
      <c r="F3919" s="22"/>
      <c r="G3919" s="22"/>
    </row>
    <row r="3920" spans="1:7" x14ac:dyDescent="0.15">
      <c r="A3920" s="41" t="s">
        <v>9307</v>
      </c>
      <c r="B3920" s="25" t="s">
        <v>11132</v>
      </c>
      <c r="C3920" s="19" t="s">
        <v>11133</v>
      </c>
      <c r="D3920" s="42" t="str">
        <f t="shared" si="282"/>
        <v>https://rmda.kulib.kyoto-u.ac.jp/item/rb00002938?page=257</v>
      </c>
      <c r="E3920" s="22"/>
      <c r="F3920" s="22"/>
      <c r="G3920" s="22"/>
    </row>
    <row r="3921" spans="1:7" x14ac:dyDescent="0.15">
      <c r="A3921" s="41" t="s">
        <v>9307</v>
      </c>
      <c r="B3921" s="25" t="s">
        <v>11134</v>
      </c>
      <c r="C3921" s="19" t="s">
        <v>11135</v>
      </c>
      <c r="D3921" s="42" t="str">
        <f t="shared" si="282"/>
        <v>https://rmda.kulib.kyoto-u.ac.jp/item/rb00002938?page=257</v>
      </c>
      <c r="E3921" s="22"/>
      <c r="F3921" s="22"/>
      <c r="G3921" s="22"/>
    </row>
    <row r="3922" spans="1:7" x14ac:dyDescent="0.15">
      <c r="A3922" s="41" t="s">
        <v>9307</v>
      </c>
      <c r="B3922" s="25" t="s">
        <v>11136</v>
      </c>
      <c r="C3922" s="19" t="s">
        <v>11137</v>
      </c>
      <c r="D3922" s="42" t="str">
        <f t="shared" si="282"/>
        <v>https://rmda.kulib.kyoto-u.ac.jp/item/rb00002938?page=257</v>
      </c>
      <c r="E3922" s="22"/>
      <c r="F3922" s="22"/>
      <c r="G3922" s="22"/>
    </row>
    <row r="3923" spans="1:7" x14ac:dyDescent="0.15">
      <c r="A3923" s="41" t="s">
        <v>9307</v>
      </c>
      <c r="B3923" s="25" t="s">
        <v>11138</v>
      </c>
      <c r="C3923" s="19" t="s">
        <v>11139</v>
      </c>
      <c r="D3923" s="42" t="str">
        <f t="shared" si="282"/>
        <v>https://rmda.kulib.kyoto-u.ac.jp/item/rb00002938?page=257</v>
      </c>
      <c r="E3923" s="22"/>
      <c r="F3923" s="22"/>
      <c r="G3923" s="22"/>
    </row>
    <row r="3924" spans="1:7" x14ac:dyDescent="0.15">
      <c r="A3924" s="41" t="s">
        <v>9307</v>
      </c>
      <c r="B3924" s="25" t="s">
        <v>11140</v>
      </c>
      <c r="C3924" s="19" t="s">
        <v>11141</v>
      </c>
      <c r="D3924" s="42" t="str">
        <f t="shared" si="282"/>
        <v>https://rmda.kulib.kyoto-u.ac.jp/item/rb00002938?page=257</v>
      </c>
      <c r="E3924" s="22"/>
      <c r="F3924" s="22"/>
      <c r="G3924" s="22"/>
    </row>
    <row r="3925" spans="1:7" x14ac:dyDescent="0.15">
      <c r="A3925" s="41" t="s">
        <v>9307</v>
      </c>
      <c r="B3925" s="25" t="s">
        <v>11142</v>
      </c>
      <c r="C3925" s="19" t="s">
        <v>11143</v>
      </c>
      <c r="D3925" s="42" t="str">
        <f t="shared" ref="D3925:D3932" si="283">HYPERLINK("https://rmda.kulib.kyoto-u.ac.jp/item/rb00002938?page=258")</f>
        <v>https://rmda.kulib.kyoto-u.ac.jp/item/rb00002938?page=258</v>
      </c>
      <c r="E3925" s="22"/>
      <c r="F3925" s="22"/>
      <c r="G3925" s="22"/>
    </row>
    <row r="3926" spans="1:7" x14ac:dyDescent="0.15">
      <c r="A3926" s="41" t="s">
        <v>9307</v>
      </c>
      <c r="B3926" s="25" t="s">
        <v>11144</v>
      </c>
      <c r="C3926" s="19" t="s">
        <v>11145</v>
      </c>
      <c r="D3926" s="42" t="str">
        <f t="shared" si="283"/>
        <v>https://rmda.kulib.kyoto-u.ac.jp/item/rb00002938?page=258</v>
      </c>
      <c r="E3926" s="22"/>
      <c r="F3926" s="22"/>
      <c r="G3926" s="22"/>
    </row>
    <row r="3927" spans="1:7" x14ac:dyDescent="0.15">
      <c r="A3927" s="41" t="s">
        <v>9307</v>
      </c>
      <c r="B3927" s="25" t="s">
        <v>11146</v>
      </c>
      <c r="C3927" s="19" t="s">
        <v>11147</v>
      </c>
      <c r="D3927" s="42" t="str">
        <f t="shared" si="283"/>
        <v>https://rmda.kulib.kyoto-u.ac.jp/item/rb00002938?page=258</v>
      </c>
      <c r="E3927" s="22"/>
      <c r="F3927" s="22"/>
      <c r="G3927" s="22"/>
    </row>
    <row r="3928" spans="1:7" x14ac:dyDescent="0.15">
      <c r="A3928" s="41" t="s">
        <v>9307</v>
      </c>
      <c r="B3928" s="25" t="s">
        <v>11148</v>
      </c>
      <c r="C3928" s="19" t="s">
        <v>11149</v>
      </c>
      <c r="D3928" s="42" t="str">
        <f t="shared" si="283"/>
        <v>https://rmda.kulib.kyoto-u.ac.jp/item/rb00002938?page=258</v>
      </c>
      <c r="E3928" s="22"/>
      <c r="F3928" s="22"/>
      <c r="G3928" s="22"/>
    </row>
    <row r="3929" spans="1:7" x14ac:dyDescent="0.15">
      <c r="A3929" s="41" t="s">
        <v>9307</v>
      </c>
      <c r="B3929" s="25" t="s">
        <v>11150</v>
      </c>
      <c r="C3929" s="19" t="s">
        <v>11151</v>
      </c>
      <c r="D3929" s="42" t="str">
        <f t="shared" si="283"/>
        <v>https://rmda.kulib.kyoto-u.ac.jp/item/rb00002938?page=258</v>
      </c>
      <c r="E3929" s="22"/>
      <c r="F3929" s="22"/>
      <c r="G3929" s="22"/>
    </row>
    <row r="3930" spans="1:7" x14ac:dyDescent="0.15">
      <c r="A3930" s="41" t="s">
        <v>9307</v>
      </c>
      <c r="B3930" s="25" t="s">
        <v>11152</v>
      </c>
      <c r="C3930" s="19" t="s">
        <v>11153</v>
      </c>
      <c r="D3930" s="42" t="str">
        <f t="shared" si="283"/>
        <v>https://rmda.kulib.kyoto-u.ac.jp/item/rb00002938?page=258</v>
      </c>
      <c r="E3930" s="22"/>
      <c r="F3930" s="22"/>
      <c r="G3930" s="22"/>
    </row>
    <row r="3931" spans="1:7" x14ac:dyDescent="0.15">
      <c r="A3931" s="41" t="s">
        <v>9307</v>
      </c>
      <c r="B3931" s="25" t="s">
        <v>11154</v>
      </c>
      <c r="C3931" s="19" t="s">
        <v>11155</v>
      </c>
      <c r="D3931" s="42" t="str">
        <f t="shared" si="283"/>
        <v>https://rmda.kulib.kyoto-u.ac.jp/item/rb00002938?page=258</v>
      </c>
      <c r="E3931" s="22"/>
      <c r="F3931" s="22"/>
      <c r="G3931" s="22"/>
    </row>
    <row r="3932" spans="1:7" x14ac:dyDescent="0.15">
      <c r="A3932" s="41" t="s">
        <v>9307</v>
      </c>
      <c r="B3932" s="25" t="s">
        <v>11156</v>
      </c>
      <c r="C3932" s="19" t="s">
        <v>11157</v>
      </c>
      <c r="D3932" s="42" t="str">
        <f t="shared" si="283"/>
        <v>https://rmda.kulib.kyoto-u.ac.jp/item/rb00002938?page=258</v>
      </c>
      <c r="E3932" s="22"/>
      <c r="F3932" s="22"/>
      <c r="G3932" s="22"/>
    </row>
    <row r="3933" spans="1:7" x14ac:dyDescent="0.15">
      <c r="A3933" s="41" t="s">
        <v>9307</v>
      </c>
      <c r="B3933" s="25" t="s">
        <v>11158</v>
      </c>
      <c r="C3933" s="19" t="s">
        <v>11159</v>
      </c>
      <c r="D3933" s="42" t="str">
        <f t="shared" ref="D3933:D3939" si="284">HYPERLINK("https://rmda.kulib.kyoto-u.ac.jp/item/rb00002938?page=259")</f>
        <v>https://rmda.kulib.kyoto-u.ac.jp/item/rb00002938?page=259</v>
      </c>
      <c r="E3933" s="22"/>
      <c r="F3933" s="22"/>
      <c r="G3933" s="22"/>
    </row>
    <row r="3934" spans="1:7" x14ac:dyDescent="0.15">
      <c r="A3934" s="41" t="s">
        <v>9307</v>
      </c>
      <c r="B3934" s="25" t="s">
        <v>11160</v>
      </c>
      <c r="C3934" s="19" t="s">
        <v>11161</v>
      </c>
      <c r="D3934" s="42" t="str">
        <f t="shared" si="284"/>
        <v>https://rmda.kulib.kyoto-u.ac.jp/item/rb00002938?page=259</v>
      </c>
      <c r="E3934" s="22"/>
      <c r="F3934" s="22"/>
      <c r="G3934" s="22"/>
    </row>
    <row r="3935" spans="1:7" x14ac:dyDescent="0.15">
      <c r="A3935" s="41" t="s">
        <v>9307</v>
      </c>
      <c r="B3935" s="25" t="s">
        <v>11162</v>
      </c>
      <c r="C3935" s="19" t="s">
        <v>11163</v>
      </c>
      <c r="D3935" s="42" t="str">
        <f t="shared" si="284"/>
        <v>https://rmda.kulib.kyoto-u.ac.jp/item/rb00002938?page=259</v>
      </c>
      <c r="E3935" s="22"/>
      <c r="F3935" s="22"/>
      <c r="G3935" s="22"/>
    </row>
    <row r="3936" spans="1:7" ht="18.75" x14ac:dyDescent="0.15">
      <c r="A3936" s="41" t="s">
        <v>9307</v>
      </c>
      <c r="B3936" s="25" t="s">
        <v>11164</v>
      </c>
      <c r="C3936" s="19" t="s">
        <v>11165</v>
      </c>
      <c r="D3936" s="42" t="str">
        <f t="shared" si="284"/>
        <v>https://rmda.kulib.kyoto-u.ac.jp/item/rb00002938?page=259</v>
      </c>
      <c r="E3936" s="22"/>
      <c r="F3936" s="22"/>
      <c r="G3936" s="22"/>
    </row>
    <row r="3937" spans="1:7" ht="27" x14ac:dyDescent="0.15">
      <c r="A3937" s="41" t="s">
        <v>9307</v>
      </c>
      <c r="B3937" s="25" t="s">
        <v>11166</v>
      </c>
      <c r="C3937" s="19" t="s">
        <v>11167</v>
      </c>
      <c r="D3937" s="42" t="str">
        <f t="shared" si="284"/>
        <v>https://rmda.kulib.kyoto-u.ac.jp/item/rb00002938?page=259</v>
      </c>
      <c r="E3937" s="22"/>
      <c r="F3937" s="22"/>
      <c r="G3937" s="22"/>
    </row>
    <row r="3938" spans="1:7" x14ac:dyDescent="0.15">
      <c r="A3938" s="41" t="s">
        <v>9307</v>
      </c>
      <c r="B3938" s="25" t="s">
        <v>11168</v>
      </c>
      <c r="C3938" s="19" t="s">
        <v>11169</v>
      </c>
      <c r="D3938" s="42" t="str">
        <f t="shared" si="284"/>
        <v>https://rmda.kulib.kyoto-u.ac.jp/item/rb00002938?page=259</v>
      </c>
      <c r="E3938" s="22"/>
      <c r="F3938" s="22"/>
      <c r="G3938" s="22"/>
    </row>
    <row r="3939" spans="1:7" x14ac:dyDescent="0.15">
      <c r="A3939" s="41" t="s">
        <v>9307</v>
      </c>
      <c r="B3939" s="25" t="s">
        <v>11170</v>
      </c>
      <c r="C3939" s="19" t="s">
        <v>11171</v>
      </c>
      <c r="D3939" s="42" t="str">
        <f t="shared" si="284"/>
        <v>https://rmda.kulib.kyoto-u.ac.jp/item/rb00002938?page=259</v>
      </c>
      <c r="E3939" s="22"/>
      <c r="F3939" s="22"/>
      <c r="G3939" s="22"/>
    </row>
    <row r="3940" spans="1:7" x14ac:dyDescent="0.15">
      <c r="A3940" s="41" t="s">
        <v>9307</v>
      </c>
      <c r="B3940" s="25" t="s">
        <v>6769</v>
      </c>
      <c r="C3940" s="19"/>
      <c r="D3940" s="42" t="str">
        <f>HYPERLINK("https://rmda.kulib.kyoto-u.ac.jp/item/rb00002938?page=262")</f>
        <v>https://rmda.kulib.kyoto-u.ac.jp/item/rb00002938?page=262</v>
      </c>
      <c r="E3940" s="22"/>
      <c r="F3940" s="22"/>
      <c r="G3940" s="22"/>
    </row>
    <row r="3941" spans="1:7" x14ac:dyDescent="0.15">
      <c r="A3941" s="41" t="s">
        <v>9307</v>
      </c>
      <c r="B3941" s="25" t="s">
        <v>11172</v>
      </c>
      <c r="C3941" s="19" t="s">
        <v>11173</v>
      </c>
      <c r="D3941" s="42" t="str">
        <f>HYPERLINK("https://rmda.kulib.kyoto-u.ac.jp/item/rb00002938?page=270")</f>
        <v>https://rmda.kulib.kyoto-u.ac.jp/item/rb00002938?page=270</v>
      </c>
      <c r="E3941" s="22"/>
      <c r="F3941" s="22"/>
      <c r="G3941" s="22"/>
    </row>
    <row r="3942" spans="1:7" x14ac:dyDescent="0.15">
      <c r="A3942" s="41" t="s">
        <v>9307</v>
      </c>
      <c r="B3942" s="25" t="s">
        <v>11174</v>
      </c>
      <c r="C3942" s="19" t="s">
        <v>11175</v>
      </c>
      <c r="D3942" s="42" t="str">
        <f>HYPERLINK("https://rmda.kulib.kyoto-u.ac.jp/item/rb00002938?page=270")</f>
        <v>https://rmda.kulib.kyoto-u.ac.jp/item/rb00002938?page=270</v>
      </c>
      <c r="E3942" s="22"/>
      <c r="F3942" s="22"/>
      <c r="G3942" s="22"/>
    </row>
    <row r="3943" spans="1:7" x14ac:dyDescent="0.15">
      <c r="A3943" s="41" t="s">
        <v>9307</v>
      </c>
      <c r="B3943" s="25" t="s">
        <v>11176</v>
      </c>
      <c r="C3943" s="19" t="s">
        <v>11177</v>
      </c>
      <c r="D3943" s="42" t="str">
        <f>HYPERLINK("https://rmda.kulib.kyoto-u.ac.jp/item/rb00002938?page=271")</f>
        <v>https://rmda.kulib.kyoto-u.ac.jp/item/rb00002938?page=271</v>
      </c>
      <c r="E3943" s="22"/>
      <c r="F3943" s="22"/>
      <c r="G3943" s="22"/>
    </row>
    <row r="3944" spans="1:7" x14ac:dyDescent="0.15">
      <c r="A3944" s="41" t="s">
        <v>9307</v>
      </c>
      <c r="B3944" s="25" t="s">
        <v>11178</v>
      </c>
      <c r="C3944" s="19" t="s">
        <v>11179</v>
      </c>
      <c r="D3944" s="42" t="str">
        <f>HYPERLINK("https://rmda.kulib.kyoto-u.ac.jp/item/rb00002938?page=271")</f>
        <v>https://rmda.kulib.kyoto-u.ac.jp/item/rb00002938?page=271</v>
      </c>
      <c r="E3944" s="22"/>
      <c r="F3944" s="22"/>
      <c r="G3944" s="22"/>
    </row>
    <row r="3945" spans="1:7" x14ac:dyDescent="0.15">
      <c r="A3945" s="41" t="s">
        <v>9307</v>
      </c>
      <c r="B3945" s="25" t="s">
        <v>11180</v>
      </c>
      <c r="C3945" s="19" t="s">
        <v>11181</v>
      </c>
      <c r="D3945" s="42" t="str">
        <f>HYPERLINK("https://rmda.kulib.kyoto-u.ac.jp/item/rb00002938?page=272")</f>
        <v>https://rmda.kulib.kyoto-u.ac.jp/item/rb00002938?page=272</v>
      </c>
      <c r="E3945" s="22"/>
      <c r="F3945" s="22"/>
      <c r="G3945" s="22"/>
    </row>
    <row r="3946" spans="1:7" x14ac:dyDescent="0.15">
      <c r="A3946" s="41" t="s">
        <v>9307</v>
      </c>
      <c r="B3946" s="25" t="s">
        <v>11182</v>
      </c>
      <c r="C3946" s="19" t="s">
        <v>11183</v>
      </c>
      <c r="D3946" s="42" t="str">
        <f>HYPERLINK("https://rmda.kulib.kyoto-u.ac.jp/item/rb00002938?page=272")</f>
        <v>https://rmda.kulib.kyoto-u.ac.jp/item/rb00002938?page=272</v>
      </c>
      <c r="E3946" s="22"/>
      <c r="F3946" s="22"/>
      <c r="G3946" s="22"/>
    </row>
    <row r="3947" spans="1:7" x14ac:dyDescent="0.15">
      <c r="A3947" s="41" t="s">
        <v>9307</v>
      </c>
      <c r="B3947" s="25" t="s">
        <v>11184</v>
      </c>
      <c r="C3947" s="19" t="s">
        <v>11185</v>
      </c>
      <c r="D3947" s="42" t="str">
        <f>HYPERLINK("https://rmda.kulib.kyoto-u.ac.jp/item/rb00002938?page=272")</f>
        <v>https://rmda.kulib.kyoto-u.ac.jp/item/rb00002938?page=272</v>
      </c>
      <c r="E3947" s="22"/>
      <c r="F3947" s="22"/>
      <c r="G3947" s="22"/>
    </row>
    <row r="3948" spans="1:7" x14ac:dyDescent="0.15">
      <c r="A3948" s="41" t="s">
        <v>9307</v>
      </c>
      <c r="B3948" s="25" t="s">
        <v>11186</v>
      </c>
      <c r="C3948" s="19" t="s">
        <v>11187</v>
      </c>
      <c r="D3948" s="42" t="str">
        <f>HYPERLINK("https://rmda.kulib.kyoto-u.ac.jp/item/rb00002938?page=272")</f>
        <v>https://rmda.kulib.kyoto-u.ac.jp/item/rb00002938?page=272</v>
      </c>
      <c r="E3948" s="22"/>
      <c r="F3948" s="22"/>
      <c r="G3948" s="22"/>
    </row>
    <row r="3949" spans="1:7" x14ac:dyDescent="0.15">
      <c r="A3949" s="41" t="s">
        <v>9307</v>
      </c>
      <c r="B3949" s="25" t="s">
        <v>11188</v>
      </c>
      <c r="C3949" s="19" t="s">
        <v>11189</v>
      </c>
      <c r="D3949" s="42" t="str">
        <f>HYPERLINK("https://rmda.kulib.kyoto-u.ac.jp/item/rb00002938?page=272")</f>
        <v>https://rmda.kulib.kyoto-u.ac.jp/item/rb00002938?page=272</v>
      </c>
      <c r="E3949" s="22"/>
      <c r="F3949" s="22"/>
      <c r="G3949" s="22"/>
    </row>
    <row r="3950" spans="1:7" x14ac:dyDescent="0.15">
      <c r="A3950" s="41" t="s">
        <v>9307</v>
      </c>
      <c r="B3950" s="25" t="s">
        <v>11190</v>
      </c>
      <c r="C3950" s="19" t="s">
        <v>11191</v>
      </c>
      <c r="D3950" s="42" t="str">
        <f t="shared" ref="D3950:D3955" si="285">HYPERLINK("https://rmda.kulib.kyoto-u.ac.jp/item/rb00002938?page=271")</f>
        <v>https://rmda.kulib.kyoto-u.ac.jp/item/rb00002938?page=271</v>
      </c>
      <c r="E3950" s="22"/>
      <c r="F3950" s="22"/>
      <c r="G3950" s="22"/>
    </row>
    <row r="3951" spans="1:7" x14ac:dyDescent="0.15">
      <c r="A3951" s="41" t="s">
        <v>9307</v>
      </c>
      <c r="B3951" s="25" t="s">
        <v>11192</v>
      </c>
      <c r="C3951" s="19" t="s">
        <v>11193</v>
      </c>
      <c r="D3951" s="42" t="str">
        <f t="shared" si="285"/>
        <v>https://rmda.kulib.kyoto-u.ac.jp/item/rb00002938?page=271</v>
      </c>
      <c r="E3951" s="22"/>
      <c r="F3951" s="22"/>
      <c r="G3951" s="22"/>
    </row>
    <row r="3952" spans="1:7" x14ac:dyDescent="0.15">
      <c r="A3952" s="41" t="s">
        <v>9307</v>
      </c>
      <c r="B3952" s="25" t="s">
        <v>11194</v>
      </c>
      <c r="C3952" s="19" t="s">
        <v>11195</v>
      </c>
      <c r="D3952" s="42" t="str">
        <f t="shared" si="285"/>
        <v>https://rmda.kulib.kyoto-u.ac.jp/item/rb00002938?page=271</v>
      </c>
      <c r="E3952" s="22"/>
      <c r="F3952" s="22"/>
      <c r="G3952" s="22"/>
    </row>
    <row r="3953" spans="1:7" x14ac:dyDescent="0.15">
      <c r="A3953" s="41" t="s">
        <v>9307</v>
      </c>
      <c r="B3953" s="25" t="s">
        <v>11196</v>
      </c>
      <c r="C3953" s="19" t="s">
        <v>11197</v>
      </c>
      <c r="D3953" s="42" t="str">
        <f t="shared" si="285"/>
        <v>https://rmda.kulib.kyoto-u.ac.jp/item/rb00002938?page=271</v>
      </c>
      <c r="E3953" s="22"/>
      <c r="F3953" s="22"/>
      <c r="G3953" s="22"/>
    </row>
    <row r="3954" spans="1:7" x14ac:dyDescent="0.15">
      <c r="A3954" s="41" t="s">
        <v>9307</v>
      </c>
      <c r="B3954" s="25" t="s">
        <v>11198</v>
      </c>
      <c r="C3954" s="19" t="s">
        <v>11199</v>
      </c>
      <c r="D3954" s="42" t="str">
        <f t="shared" si="285"/>
        <v>https://rmda.kulib.kyoto-u.ac.jp/item/rb00002938?page=271</v>
      </c>
      <c r="E3954" s="22"/>
      <c r="F3954" s="22"/>
      <c r="G3954" s="22"/>
    </row>
    <row r="3955" spans="1:7" x14ac:dyDescent="0.15">
      <c r="A3955" s="41" t="s">
        <v>9307</v>
      </c>
      <c r="B3955" s="25" t="s">
        <v>11200</v>
      </c>
      <c r="C3955" s="19" t="s">
        <v>11201</v>
      </c>
      <c r="D3955" s="42" t="str">
        <f t="shared" si="285"/>
        <v>https://rmda.kulib.kyoto-u.ac.jp/item/rb00002938?page=271</v>
      </c>
      <c r="E3955" s="22"/>
      <c r="F3955" s="22"/>
      <c r="G3955" s="22"/>
    </row>
    <row r="3956" spans="1:7" x14ac:dyDescent="0.15">
      <c r="A3956" s="41" t="s">
        <v>9307</v>
      </c>
      <c r="B3956" s="25" t="s">
        <v>11202</v>
      </c>
      <c r="C3956" s="19" t="s">
        <v>11203</v>
      </c>
      <c r="D3956" s="42" t="str">
        <f t="shared" ref="D3956:D3968" si="286">HYPERLINK("https://rmda.kulib.kyoto-u.ac.jp/item/rb00002938?page=273")</f>
        <v>https://rmda.kulib.kyoto-u.ac.jp/item/rb00002938?page=273</v>
      </c>
      <c r="E3956" s="22"/>
      <c r="F3956" s="22"/>
      <c r="G3956" s="22"/>
    </row>
    <row r="3957" spans="1:7" x14ac:dyDescent="0.15">
      <c r="A3957" s="41" t="s">
        <v>9307</v>
      </c>
      <c r="B3957" s="25" t="s">
        <v>11204</v>
      </c>
      <c r="C3957" s="19" t="s">
        <v>11205</v>
      </c>
      <c r="D3957" s="42" t="str">
        <f t="shared" si="286"/>
        <v>https://rmda.kulib.kyoto-u.ac.jp/item/rb00002938?page=273</v>
      </c>
      <c r="E3957" s="22"/>
      <c r="F3957" s="22"/>
      <c r="G3957" s="22"/>
    </row>
    <row r="3958" spans="1:7" x14ac:dyDescent="0.15">
      <c r="A3958" s="41" t="s">
        <v>9307</v>
      </c>
      <c r="B3958" s="25" t="s">
        <v>11206</v>
      </c>
      <c r="C3958" s="19" t="s">
        <v>11207</v>
      </c>
      <c r="D3958" s="42" t="str">
        <f t="shared" si="286"/>
        <v>https://rmda.kulib.kyoto-u.ac.jp/item/rb00002938?page=273</v>
      </c>
      <c r="E3958" s="22"/>
      <c r="F3958" s="22"/>
      <c r="G3958" s="22"/>
    </row>
    <row r="3959" spans="1:7" x14ac:dyDescent="0.15">
      <c r="A3959" s="41" t="s">
        <v>9307</v>
      </c>
      <c r="B3959" s="25" t="s">
        <v>11208</v>
      </c>
      <c r="C3959" s="19" t="s">
        <v>11209</v>
      </c>
      <c r="D3959" s="42" t="str">
        <f t="shared" si="286"/>
        <v>https://rmda.kulib.kyoto-u.ac.jp/item/rb00002938?page=273</v>
      </c>
      <c r="E3959" s="22"/>
      <c r="F3959" s="22"/>
      <c r="G3959" s="22"/>
    </row>
    <row r="3960" spans="1:7" x14ac:dyDescent="0.15">
      <c r="A3960" s="41" t="s">
        <v>9307</v>
      </c>
      <c r="B3960" s="25" t="s">
        <v>11210</v>
      </c>
      <c r="C3960" s="19" t="s">
        <v>11211</v>
      </c>
      <c r="D3960" s="42" t="str">
        <f t="shared" si="286"/>
        <v>https://rmda.kulib.kyoto-u.ac.jp/item/rb00002938?page=273</v>
      </c>
      <c r="E3960" s="22"/>
      <c r="F3960" s="22"/>
      <c r="G3960" s="22"/>
    </row>
    <row r="3961" spans="1:7" x14ac:dyDescent="0.15">
      <c r="A3961" s="41" t="s">
        <v>9307</v>
      </c>
      <c r="B3961" s="25" t="s">
        <v>11212</v>
      </c>
      <c r="C3961" s="19" t="s">
        <v>11213</v>
      </c>
      <c r="D3961" s="42" t="str">
        <f t="shared" si="286"/>
        <v>https://rmda.kulib.kyoto-u.ac.jp/item/rb00002938?page=273</v>
      </c>
      <c r="E3961" s="22"/>
      <c r="F3961" s="22"/>
      <c r="G3961" s="22"/>
    </row>
    <row r="3962" spans="1:7" x14ac:dyDescent="0.15">
      <c r="A3962" s="41" t="s">
        <v>9307</v>
      </c>
      <c r="B3962" s="25" t="s">
        <v>11214</v>
      </c>
      <c r="C3962" s="19" t="s">
        <v>11215</v>
      </c>
      <c r="D3962" s="42" t="str">
        <f t="shared" si="286"/>
        <v>https://rmda.kulib.kyoto-u.ac.jp/item/rb00002938?page=273</v>
      </c>
      <c r="E3962" s="22"/>
      <c r="F3962" s="22"/>
      <c r="G3962" s="22"/>
    </row>
    <row r="3963" spans="1:7" x14ac:dyDescent="0.15">
      <c r="A3963" s="41" t="s">
        <v>9307</v>
      </c>
      <c r="B3963" s="25" t="s">
        <v>11216</v>
      </c>
      <c r="C3963" s="19" t="s">
        <v>11217</v>
      </c>
      <c r="D3963" s="42" t="str">
        <f t="shared" si="286"/>
        <v>https://rmda.kulib.kyoto-u.ac.jp/item/rb00002938?page=273</v>
      </c>
      <c r="E3963" s="22"/>
      <c r="F3963" s="22"/>
      <c r="G3963" s="22"/>
    </row>
    <row r="3964" spans="1:7" x14ac:dyDescent="0.15">
      <c r="A3964" s="41" t="s">
        <v>9307</v>
      </c>
      <c r="B3964" s="25" t="s">
        <v>11218</v>
      </c>
      <c r="C3964" s="19" t="s">
        <v>11219</v>
      </c>
      <c r="D3964" s="42" t="str">
        <f t="shared" si="286"/>
        <v>https://rmda.kulib.kyoto-u.ac.jp/item/rb00002938?page=273</v>
      </c>
      <c r="E3964" s="22"/>
      <c r="F3964" s="22"/>
      <c r="G3964" s="22"/>
    </row>
    <row r="3965" spans="1:7" x14ac:dyDescent="0.15">
      <c r="A3965" s="41" t="s">
        <v>9307</v>
      </c>
      <c r="B3965" s="25" t="s">
        <v>11220</v>
      </c>
      <c r="C3965" s="19" t="s">
        <v>11221</v>
      </c>
      <c r="D3965" s="42" t="str">
        <f t="shared" si="286"/>
        <v>https://rmda.kulib.kyoto-u.ac.jp/item/rb00002938?page=273</v>
      </c>
      <c r="E3965" s="22"/>
      <c r="F3965" s="22"/>
      <c r="G3965" s="22"/>
    </row>
    <row r="3966" spans="1:7" ht="18.75" x14ac:dyDescent="0.15">
      <c r="A3966" s="41" t="s">
        <v>9307</v>
      </c>
      <c r="B3966" s="25" t="s">
        <v>11222</v>
      </c>
      <c r="C3966" s="19" t="s">
        <v>11223</v>
      </c>
      <c r="D3966" s="42" t="str">
        <f t="shared" si="286"/>
        <v>https://rmda.kulib.kyoto-u.ac.jp/item/rb00002938?page=273</v>
      </c>
      <c r="E3966" s="22"/>
      <c r="F3966" s="22"/>
      <c r="G3966" s="22"/>
    </row>
    <row r="3967" spans="1:7" x14ac:dyDescent="0.15">
      <c r="A3967" s="41" t="s">
        <v>9307</v>
      </c>
      <c r="B3967" s="25" t="s">
        <v>11224</v>
      </c>
      <c r="C3967" s="19" t="s">
        <v>11225</v>
      </c>
      <c r="D3967" s="42" t="str">
        <f t="shared" si="286"/>
        <v>https://rmda.kulib.kyoto-u.ac.jp/item/rb00002938?page=273</v>
      </c>
      <c r="E3967" s="22"/>
      <c r="F3967" s="22"/>
      <c r="G3967" s="22"/>
    </row>
    <row r="3968" spans="1:7" x14ac:dyDescent="0.15">
      <c r="A3968" s="41" t="s">
        <v>9307</v>
      </c>
      <c r="B3968" s="25" t="s">
        <v>11226</v>
      </c>
      <c r="C3968" s="19" t="s">
        <v>11227</v>
      </c>
      <c r="D3968" s="42" t="str">
        <f t="shared" si="286"/>
        <v>https://rmda.kulib.kyoto-u.ac.jp/item/rb00002938?page=273</v>
      </c>
      <c r="E3968" s="22"/>
      <c r="F3968" s="22"/>
      <c r="G3968" s="22"/>
    </row>
    <row r="3969" spans="1:7" x14ac:dyDescent="0.15">
      <c r="A3969" s="41" t="s">
        <v>9307</v>
      </c>
      <c r="B3969" s="25" t="s">
        <v>11228</v>
      </c>
      <c r="C3969" s="19" t="s">
        <v>11229</v>
      </c>
      <c r="D3969" s="42" t="str">
        <f t="shared" ref="D3969:D3975" si="287">HYPERLINK("https://rmda.kulib.kyoto-u.ac.jp/item/rb00002938?page=274")</f>
        <v>https://rmda.kulib.kyoto-u.ac.jp/item/rb00002938?page=274</v>
      </c>
      <c r="E3969" s="22"/>
      <c r="F3969" s="22"/>
      <c r="G3969" s="22"/>
    </row>
    <row r="3970" spans="1:7" x14ac:dyDescent="0.15">
      <c r="A3970" s="41" t="s">
        <v>9307</v>
      </c>
      <c r="B3970" s="25" t="s">
        <v>11230</v>
      </c>
      <c r="C3970" s="19" t="s">
        <v>11231</v>
      </c>
      <c r="D3970" s="42" t="str">
        <f t="shared" si="287"/>
        <v>https://rmda.kulib.kyoto-u.ac.jp/item/rb00002938?page=274</v>
      </c>
      <c r="E3970" s="22"/>
      <c r="F3970" s="22"/>
      <c r="G3970" s="22"/>
    </row>
    <row r="3971" spans="1:7" x14ac:dyDescent="0.15">
      <c r="A3971" s="41" t="s">
        <v>9307</v>
      </c>
      <c r="B3971" s="25" t="s">
        <v>11232</v>
      </c>
      <c r="C3971" s="19" t="s">
        <v>11233</v>
      </c>
      <c r="D3971" s="42" t="str">
        <f t="shared" si="287"/>
        <v>https://rmda.kulib.kyoto-u.ac.jp/item/rb00002938?page=274</v>
      </c>
      <c r="E3971" s="22"/>
      <c r="F3971" s="22"/>
      <c r="G3971" s="22"/>
    </row>
    <row r="3972" spans="1:7" x14ac:dyDescent="0.15">
      <c r="A3972" s="41" t="s">
        <v>9307</v>
      </c>
      <c r="B3972" s="25" t="s">
        <v>11234</v>
      </c>
      <c r="C3972" s="19" t="s">
        <v>11235</v>
      </c>
      <c r="D3972" s="42" t="str">
        <f t="shared" si="287"/>
        <v>https://rmda.kulib.kyoto-u.ac.jp/item/rb00002938?page=274</v>
      </c>
      <c r="E3972" s="22"/>
      <c r="F3972" s="22"/>
      <c r="G3972" s="22"/>
    </row>
    <row r="3973" spans="1:7" x14ac:dyDescent="0.15">
      <c r="A3973" s="41" t="s">
        <v>9307</v>
      </c>
      <c r="B3973" s="25" t="s">
        <v>11236</v>
      </c>
      <c r="C3973" s="19" t="s">
        <v>11237</v>
      </c>
      <c r="D3973" s="42" t="str">
        <f t="shared" si="287"/>
        <v>https://rmda.kulib.kyoto-u.ac.jp/item/rb00002938?page=274</v>
      </c>
      <c r="E3973" s="22"/>
      <c r="F3973" s="22"/>
      <c r="G3973" s="22"/>
    </row>
    <row r="3974" spans="1:7" x14ac:dyDescent="0.15">
      <c r="A3974" s="41" t="s">
        <v>9307</v>
      </c>
      <c r="B3974" s="25" t="s">
        <v>11238</v>
      </c>
      <c r="C3974" s="19" t="s">
        <v>11239</v>
      </c>
      <c r="D3974" s="42" t="str">
        <f t="shared" si="287"/>
        <v>https://rmda.kulib.kyoto-u.ac.jp/item/rb00002938?page=274</v>
      </c>
      <c r="E3974" s="22"/>
      <c r="F3974" s="22"/>
      <c r="G3974" s="22"/>
    </row>
    <row r="3975" spans="1:7" x14ac:dyDescent="0.15">
      <c r="A3975" s="41" t="s">
        <v>9307</v>
      </c>
      <c r="B3975" s="25" t="s">
        <v>11240</v>
      </c>
      <c r="C3975" s="19" t="s">
        <v>11241</v>
      </c>
      <c r="D3975" s="42" t="str">
        <f t="shared" si="287"/>
        <v>https://rmda.kulib.kyoto-u.ac.jp/item/rb00002938?page=274</v>
      </c>
      <c r="E3975" s="22"/>
      <c r="F3975" s="22"/>
      <c r="G3975" s="22"/>
    </row>
    <row r="3976" spans="1:7" x14ac:dyDescent="0.15">
      <c r="A3976" s="41" t="s">
        <v>9307</v>
      </c>
      <c r="B3976" s="25" t="s">
        <v>11242</v>
      </c>
      <c r="C3976" s="19" t="s">
        <v>11243</v>
      </c>
      <c r="D3976" s="42" t="str">
        <f t="shared" ref="D3976:D3984" si="288">HYPERLINK("https://rmda.kulib.kyoto-u.ac.jp/item/rb00002938?page=275")</f>
        <v>https://rmda.kulib.kyoto-u.ac.jp/item/rb00002938?page=275</v>
      </c>
      <c r="E3976" s="22"/>
      <c r="F3976" s="22"/>
      <c r="G3976" s="22"/>
    </row>
    <row r="3977" spans="1:7" x14ac:dyDescent="0.15">
      <c r="A3977" s="41" t="s">
        <v>9307</v>
      </c>
      <c r="B3977" s="25" t="s">
        <v>11244</v>
      </c>
      <c r="C3977" s="19" t="s">
        <v>11245</v>
      </c>
      <c r="D3977" s="42" t="str">
        <f t="shared" si="288"/>
        <v>https://rmda.kulib.kyoto-u.ac.jp/item/rb00002938?page=275</v>
      </c>
      <c r="E3977" s="22"/>
      <c r="F3977" s="22"/>
      <c r="G3977" s="22"/>
    </row>
    <row r="3978" spans="1:7" x14ac:dyDescent="0.15">
      <c r="A3978" s="41" t="s">
        <v>9307</v>
      </c>
      <c r="B3978" s="25" t="s">
        <v>11246</v>
      </c>
      <c r="C3978" s="19" t="s">
        <v>11247</v>
      </c>
      <c r="D3978" s="42" t="str">
        <f t="shared" si="288"/>
        <v>https://rmda.kulib.kyoto-u.ac.jp/item/rb00002938?page=275</v>
      </c>
      <c r="E3978" s="22"/>
      <c r="F3978" s="22"/>
      <c r="G3978" s="22"/>
    </row>
    <row r="3979" spans="1:7" x14ac:dyDescent="0.15">
      <c r="A3979" s="41" t="s">
        <v>9307</v>
      </c>
      <c r="B3979" s="25" t="s">
        <v>11248</v>
      </c>
      <c r="C3979" s="19" t="s">
        <v>11249</v>
      </c>
      <c r="D3979" s="42" t="str">
        <f t="shared" si="288"/>
        <v>https://rmda.kulib.kyoto-u.ac.jp/item/rb00002938?page=275</v>
      </c>
      <c r="E3979" s="22"/>
      <c r="F3979" s="22"/>
      <c r="G3979" s="22"/>
    </row>
    <row r="3980" spans="1:7" x14ac:dyDescent="0.15">
      <c r="A3980" s="41" t="s">
        <v>9307</v>
      </c>
      <c r="B3980" s="25" t="s">
        <v>11250</v>
      </c>
      <c r="C3980" s="19" t="s">
        <v>11251</v>
      </c>
      <c r="D3980" s="42" t="str">
        <f t="shared" si="288"/>
        <v>https://rmda.kulib.kyoto-u.ac.jp/item/rb00002938?page=275</v>
      </c>
      <c r="E3980" s="22"/>
      <c r="F3980" s="22"/>
      <c r="G3980" s="22"/>
    </row>
    <row r="3981" spans="1:7" x14ac:dyDescent="0.15">
      <c r="A3981" s="41" t="s">
        <v>9307</v>
      </c>
      <c r="B3981" s="25" t="s">
        <v>11252</v>
      </c>
      <c r="C3981" s="19" t="s">
        <v>11253</v>
      </c>
      <c r="D3981" s="42" t="str">
        <f t="shared" si="288"/>
        <v>https://rmda.kulib.kyoto-u.ac.jp/item/rb00002938?page=275</v>
      </c>
      <c r="E3981" s="22"/>
      <c r="F3981" s="22"/>
      <c r="G3981" s="22"/>
    </row>
    <row r="3982" spans="1:7" x14ac:dyDescent="0.15">
      <c r="A3982" s="41" t="s">
        <v>9307</v>
      </c>
      <c r="B3982" s="25" t="s">
        <v>11254</v>
      </c>
      <c r="C3982" s="19" t="s">
        <v>11255</v>
      </c>
      <c r="D3982" s="42" t="str">
        <f t="shared" si="288"/>
        <v>https://rmda.kulib.kyoto-u.ac.jp/item/rb00002938?page=275</v>
      </c>
      <c r="E3982" s="22"/>
      <c r="F3982" s="22"/>
      <c r="G3982" s="22"/>
    </row>
    <row r="3983" spans="1:7" x14ac:dyDescent="0.15">
      <c r="A3983" s="41" t="s">
        <v>9307</v>
      </c>
      <c r="B3983" s="25" t="s">
        <v>11256</v>
      </c>
      <c r="C3983" s="19" t="s">
        <v>11257</v>
      </c>
      <c r="D3983" s="42" t="str">
        <f t="shared" si="288"/>
        <v>https://rmda.kulib.kyoto-u.ac.jp/item/rb00002938?page=275</v>
      </c>
      <c r="E3983" s="22"/>
      <c r="F3983" s="22"/>
      <c r="G3983" s="22"/>
    </row>
    <row r="3984" spans="1:7" x14ac:dyDescent="0.15">
      <c r="A3984" s="41" t="s">
        <v>9307</v>
      </c>
      <c r="B3984" s="25" t="s">
        <v>11258</v>
      </c>
      <c r="C3984" s="19" t="s">
        <v>11259</v>
      </c>
      <c r="D3984" s="42" t="str">
        <f t="shared" si="288"/>
        <v>https://rmda.kulib.kyoto-u.ac.jp/item/rb00002938?page=275</v>
      </c>
      <c r="E3984" s="22"/>
      <c r="F3984" s="22"/>
      <c r="G3984" s="22"/>
    </row>
    <row r="3985" spans="1:7" x14ac:dyDescent="0.15">
      <c r="A3985" s="41" t="s">
        <v>9307</v>
      </c>
      <c r="B3985" s="25" t="s">
        <v>11260</v>
      </c>
      <c r="C3985" s="19" t="s">
        <v>11261</v>
      </c>
      <c r="D3985" s="42" t="str">
        <f>HYPERLINK("https://rmda.kulib.kyoto-u.ac.jp/item/rb00002938?page=276")</f>
        <v>https://rmda.kulib.kyoto-u.ac.jp/item/rb00002938?page=276</v>
      </c>
      <c r="E3985" s="22"/>
      <c r="F3985" s="22"/>
      <c r="G3985" s="22"/>
    </row>
    <row r="3986" spans="1:7" x14ac:dyDescent="0.15">
      <c r="A3986" s="41" t="s">
        <v>9307</v>
      </c>
      <c r="B3986" s="25" t="s">
        <v>11262</v>
      </c>
      <c r="C3986" s="19" t="s">
        <v>11263</v>
      </c>
      <c r="D3986" s="42" t="str">
        <f>HYPERLINK("https://rmda.kulib.kyoto-u.ac.jp/item/rb00002938?page=276")</f>
        <v>https://rmda.kulib.kyoto-u.ac.jp/item/rb00002938?page=276</v>
      </c>
      <c r="E3986" s="22"/>
      <c r="F3986" s="22"/>
      <c r="G3986" s="22"/>
    </row>
    <row r="3987" spans="1:7" x14ac:dyDescent="0.15">
      <c r="A3987" s="41" t="s">
        <v>9307</v>
      </c>
      <c r="B3987" s="25" t="s">
        <v>11264</v>
      </c>
      <c r="C3987" s="19" t="s">
        <v>11265</v>
      </c>
      <c r="D3987" s="42" t="str">
        <f>HYPERLINK("https://rmda.kulib.kyoto-u.ac.jp/item/rb00002938?page=276")</f>
        <v>https://rmda.kulib.kyoto-u.ac.jp/item/rb00002938?page=276</v>
      </c>
      <c r="E3987" s="22"/>
      <c r="F3987" s="22"/>
      <c r="G3987" s="22"/>
    </row>
    <row r="3988" spans="1:7" x14ac:dyDescent="0.15">
      <c r="A3988" s="41" t="s">
        <v>9307</v>
      </c>
      <c r="B3988" s="25" t="s">
        <v>11266</v>
      </c>
      <c r="C3988" s="19" t="s">
        <v>11267</v>
      </c>
      <c r="D3988" s="42" t="str">
        <f t="shared" ref="D3988:D3998" si="289">HYPERLINK("https://rmda.kulib.kyoto-u.ac.jp/item/rb00002938?page=277")</f>
        <v>https://rmda.kulib.kyoto-u.ac.jp/item/rb00002938?page=277</v>
      </c>
      <c r="E3988" s="22"/>
      <c r="F3988" s="22"/>
      <c r="G3988" s="22"/>
    </row>
    <row r="3989" spans="1:7" x14ac:dyDescent="0.15">
      <c r="A3989" s="41" t="s">
        <v>9307</v>
      </c>
      <c r="B3989" s="25" t="s">
        <v>11268</v>
      </c>
      <c r="C3989" s="19" t="s">
        <v>11269</v>
      </c>
      <c r="D3989" s="42" t="str">
        <f t="shared" si="289"/>
        <v>https://rmda.kulib.kyoto-u.ac.jp/item/rb00002938?page=277</v>
      </c>
      <c r="E3989" s="22"/>
      <c r="F3989" s="22"/>
      <c r="G3989" s="22"/>
    </row>
    <row r="3990" spans="1:7" x14ac:dyDescent="0.15">
      <c r="A3990" s="41" t="s">
        <v>9307</v>
      </c>
      <c r="B3990" s="25" t="s">
        <v>11270</v>
      </c>
      <c r="C3990" s="19" t="s">
        <v>11271</v>
      </c>
      <c r="D3990" s="42" t="str">
        <f t="shared" si="289"/>
        <v>https://rmda.kulib.kyoto-u.ac.jp/item/rb00002938?page=277</v>
      </c>
      <c r="E3990" s="22"/>
      <c r="F3990" s="22"/>
      <c r="G3990" s="22"/>
    </row>
    <row r="3991" spans="1:7" x14ac:dyDescent="0.15">
      <c r="A3991" s="41" t="s">
        <v>9307</v>
      </c>
      <c r="B3991" s="25" t="s">
        <v>11272</v>
      </c>
      <c r="C3991" s="19" t="s">
        <v>11273</v>
      </c>
      <c r="D3991" s="42" t="str">
        <f t="shared" si="289"/>
        <v>https://rmda.kulib.kyoto-u.ac.jp/item/rb00002938?page=277</v>
      </c>
      <c r="E3991" s="22"/>
      <c r="F3991" s="22"/>
      <c r="G3991" s="22"/>
    </row>
    <row r="3992" spans="1:7" x14ac:dyDescent="0.15">
      <c r="A3992" s="41" t="s">
        <v>9307</v>
      </c>
      <c r="B3992" s="25" t="s">
        <v>11274</v>
      </c>
      <c r="C3992" s="19" t="s">
        <v>11275</v>
      </c>
      <c r="D3992" s="42" t="str">
        <f t="shared" si="289"/>
        <v>https://rmda.kulib.kyoto-u.ac.jp/item/rb00002938?page=277</v>
      </c>
      <c r="E3992" s="22"/>
      <c r="F3992" s="22"/>
      <c r="G3992" s="22"/>
    </row>
    <row r="3993" spans="1:7" x14ac:dyDescent="0.15">
      <c r="A3993" s="41" t="s">
        <v>9307</v>
      </c>
      <c r="B3993" s="25" t="s">
        <v>11276</v>
      </c>
      <c r="C3993" s="19" t="s">
        <v>11277</v>
      </c>
      <c r="D3993" s="42" t="str">
        <f t="shared" si="289"/>
        <v>https://rmda.kulib.kyoto-u.ac.jp/item/rb00002938?page=277</v>
      </c>
      <c r="E3993" s="22"/>
      <c r="F3993" s="22"/>
      <c r="G3993" s="22"/>
    </row>
    <row r="3994" spans="1:7" x14ac:dyDescent="0.15">
      <c r="A3994" s="41" t="s">
        <v>9307</v>
      </c>
      <c r="B3994" s="25" t="s">
        <v>11278</v>
      </c>
      <c r="C3994" s="19" t="s">
        <v>11279</v>
      </c>
      <c r="D3994" s="42" t="str">
        <f t="shared" si="289"/>
        <v>https://rmda.kulib.kyoto-u.ac.jp/item/rb00002938?page=277</v>
      </c>
      <c r="E3994" s="22"/>
      <c r="F3994" s="22"/>
      <c r="G3994" s="22"/>
    </row>
    <row r="3995" spans="1:7" x14ac:dyDescent="0.15">
      <c r="A3995" s="41" t="s">
        <v>9307</v>
      </c>
      <c r="B3995" s="25" t="s">
        <v>11280</v>
      </c>
      <c r="C3995" s="19" t="s">
        <v>11281</v>
      </c>
      <c r="D3995" s="42" t="str">
        <f t="shared" si="289"/>
        <v>https://rmda.kulib.kyoto-u.ac.jp/item/rb00002938?page=277</v>
      </c>
      <c r="E3995" s="22"/>
      <c r="F3995" s="22"/>
      <c r="G3995" s="22"/>
    </row>
    <row r="3996" spans="1:7" x14ac:dyDescent="0.15">
      <c r="A3996" s="41" t="s">
        <v>9307</v>
      </c>
      <c r="B3996" s="25" t="s">
        <v>11282</v>
      </c>
      <c r="C3996" s="19" t="s">
        <v>11283</v>
      </c>
      <c r="D3996" s="42" t="str">
        <f t="shared" si="289"/>
        <v>https://rmda.kulib.kyoto-u.ac.jp/item/rb00002938?page=277</v>
      </c>
      <c r="E3996" s="22"/>
      <c r="F3996" s="22"/>
      <c r="G3996" s="22"/>
    </row>
    <row r="3997" spans="1:7" x14ac:dyDescent="0.15">
      <c r="A3997" s="41" t="s">
        <v>9307</v>
      </c>
      <c r="B3997" s="25" t="s">
        <v>11284</v>
      </c>
      <c r="C3997" s="19" t="s">
        <v>11285</v>
      </c>
      <c r="D3997" s="42" t="str">
        <f t="shared" si="289"/>
        <v>https://rmda.kulib.kyoto-u.ac.jp/item/rb00002938?page=277</v>
      </c>
      <c r="E3997" s="22"/>
      <c r="F3997" s="22"/>
      <c r="G3997" s="22"/>
    </row>
    <row r="3998" spans="1:7" x14ac:dyDescent="0.15">
      <c r="A3998" s="41" t="s">
        <v>9307</v>
      </c>
      <c r="B3998" s="25" t="s">
        <v>11286</v>
      </c>
      <c r="C3998" s="19" t="s">
        <v>11287</v>
      </c>
      <c r="D3998" s="42" t="str">
        <f t="shared" si="289"/>
        <v>https://rmda.kulib.kyoto-u.ac.jp/item/rb00002938?page=277</v>
      </c>
      <c r="E3998" s="22"/>
      <c r="F3998" s="22"/>
      <c r="G3998" s="22"/>
    </row>
    <row r="3999" spans="1:7" x14ac:dyDescent="0.15">
      <c r="A3999" s="41" t="s">
        <v>9307</v>
      </c>
      <c r="B3999" s="25" t="s">
        <v>11288</v>
      </c>
      <c r="C3999" s="19" t="s">
        <v>11289</v>
      </c>
      <c r="D3999" s="42" t="str">
        <f>HYPERLINK("https://rmda.kulib.kyoto-u.ac.jp/item/rb00002938?page=278")</f>
        <v>https://rmda.kulib.kyoto-u.ac.jp/item/rb00002938?page=278</v>
      </c>
      <c r="E3999" s="22"/>
      <c r="F3999" s="22"/>
      <c r="G3999" s="22"/>
    </row>
    <row r="4000" spans="1:7" x14ac:dyDescent="0.15">
      <c r="A4000" s="41" t="s">
        <v>9307</v>
      </c>
      <c r="B4000" s="25" t="s">
        <v>11290</v>
      </c>
      <c r="C4000" s="19" t="s">
        <v>11291</v>
      </c>
      <c r="D4000" s="42" t="str">
        <f>HYPERLINK("https://rmda.kulib.kyoto-u.ac.jp/item/rb00002938?page=280")</f>
        <v>https://rmda.kulib.kyoto-u.ac.jp/item/rb00002938?page=280</v>
      </c>
      <c r="E4000" s="22"/>
      <c r="F4000" s="22"/>
      <c r="G4000" s="22"/>
    </row>
    <row r="4001" spans="1:7" x14ac:dyDescent="0.15">
      <c r="A4001" s="41" t="s">
        <v>9307</v>
      </c>
      <c r="B4001" s="25" t="s">
        <v>11292</v>
      </c>
      <c r="C4001" s="19" t="s">
        <v>11293</v>
      </c>
      <c r="D4001" s="42" t="str">
        <f>HYPERLINK("https://rmda.kulib.kyoto-u.ac.jp/item/rb00002938?page=280")</f>
        <v>https://rmda.kulib.kyoto-u.ac.jp/item/rb00002938?page=280</v>
      </c>
      <c r="E4001" s="22"/>
      <c r="F4001" s="22"/>
      <c r="G4001" s="22"/>
    </row>
    <row r="4002" spans="1:7" x14ac:dyDescent="0.15">
      <c r="A4002" s="41" t="s">
        <v>9307</v>
      </c>
      <c r="B4002" s="25" t="s">
        <v>11294</v>
      </c>
      <c r="C4002" s="19" t="s">
        <v>11295</v>
      </c>
      <c r="D4002" s="42" t="str">
        <f>HYPERLINK("https://rmda.kulib.kyoto-u.ac.jp/item/rb00002938?page=280")</f>
        <v>https://rmda.kulib.kyoto-u.ac.jp/item/rb00002938?page=280</v>
      </c>
      <c r="E4002" s="22"/>
      <c r="F4002" s="22"/>
      <c r="G4002" s="22"/>
    </row>
    <row r="4003" spans="1:7" x14ac:dyDescent="0.15">
      <c r="A4003" s="41" t="s">
        <v>9307</v>
      </c>
      <c r="B4003" s="25" t="s">
        <v>11296</v>
      </c>
      <c r="C4003" s="19" t="s">
        <v>11297</v>
      </c>
      <c r="D4003" s="42" t="str">
        <f>HYPERLINK("https://rmda.kulib.kyoto-u.ac.jp/item/rb00002938?page=280")</f>
        <v>https://rmda.kulib.kyoto-u.ac.jp/item/rb00002938?page=280</v>
      </c>
      <c r="E4003" s="22"/>
      <c r="F4003" s="22"/>
      <c r="G4003" s="22"/>
    </row>
    <row r="4004" spans="1:7" x14ac:dyDescent="0.15">
      <c r="A4004" s="41" t="s">
        <v>9307</v>
      </c>
      <c r="B4004" s="25" t="s">
        <v>11298</v>
      </c>
      <c r="C4004" s="19" t="s">
        <v>11299</v>
      </c>
      <c r="D4004" s="42" t="str">
        <f>HYPERLINK("https://rmda.kulib.kyoto-u.ac.jp/item/rb00002938?page=280")</f>
        <v>https://rmda.kulib.kyoto-u.ac.jp/item/rb00002938?page=280</v>
      </c>
      <c r="E4004" s="22"/>
      <c r="F4004" s="22"/>
      <c r="G4004" s="22"/>
    </row>
    <row r="4005" spans="1:7" x14ac:dyDescent="0.15">
      <c r="A4005" s="41" t="s">
        <v>9307</v>
      </c>
      <c r="B4005" s="25" t="s">
        <v>11300</v>
      </c>
      <c r="C4005" s="19" t="s">
        <v>11301</v>
      </c>
      <c r="D4005" s="42" t="str">
        <f t="shared" ref="D4005:D4011" si="290">HYPERLINK("https://rmda.kulib.kyoto-u.ac.jp/item/rb00002938?page=281")</f>
        <v>https://rmda.kulib.kyoto-u.ac.jp/item/rb00002938?page=281</v>
      </c>
      <c r="E4005" s="22"/>
      <c r="F4005" s="22"/>
      <c r="G4005" s="22"/>
    </row>
    <row r="4006" spans="1:7" x14ac:dyDescent="0.15">
      <c r="A4006" s="41" t="s">
        <v>9307</v>
      </c>
      <c r="B4006" s="25" t="s">
        <v>11302</v>
      </c>
      <c r="C4006" s="19" t="s">
        <v>11303</v>
      </c>
      <c r="D4006" s="42" t="str">
        <f t="shared" si="290"/>
        <v>https://rmda.kulib.kyoto-u.ac.jp/item/rb00002938?page=281</v>
      </c>
      <c r="E4006" s="22"/>
      <c r="F4006" s="22"/>
      <c r="G4006" s="22"/>
    </row>
    <row r="4007" spans="1:7" x14ac:dyDescent="0.15">
      <c r="A4007" s="41" t="s">
        <v>9307</v>
      </c>
      <c r="B4007" s="25" t="s">
        <v>11304</v>
      </c>
      <c r="C4007" s="19" t="s">
        <v>11305</v>
      </c>
      <c r="D4007" s="42" t="str">
        <f t="shared" si="290"/>
        <v>https://rmda.kulib.kyoto-u.ac.jp/item/rb00002938?page=281</v>
      </c>
      <c r="E4007" s="22"/>
      <c r="F4007" s="22"/>
      <c r="G4007" s="22"/>
    </row>
    <row r="4008" spans="1:7" x14ac:dyDescent="0.15">
      <c r="A4008" s="41" t="s">
        <v>9307</v>
      </c>
      <c r="B4008" s="25" t="s">
        <v>11306</v>
      </c>
      <c r="C4008" s="19" t="s">
        <v>11307</v>
      </c>
      <c r="D4008" s="42" t="str">
        <f t="shared" si="290"/>
        <v>https://rmda.kulib.kyoto-u.ac.jp/item/rb00002938?page=281</v>
      </c>
      <c r="E4008" s="22"/>
      <c r="F4008" s="22"/>
      <c r="G4008" s="22"/>
    </row>
    <row r="4009" spans="1:7" x14ac:dyDescent="0.15">
      <c r="A4009" s="41" t="s">
        <v>9307</v>
      </c>
      <c r="B4009" s="25" t="s">
        <v>11308</v>
      </c>
      <c r="C4009" s="19" t="s">
        <v>11309</v>
      </c>
      <c r="D4009" s="42" t="str">
        <f t="shared" si="290"/>
        <v>https://rmda.kulib.kyoto-u.ac.jp/item/rb00002938?page=281</v>
      </c>
      <c r="E4009" s="22"/>
      <c r="F4009" s="22"/>
      <c r="G4009" s="22"/>
    </row>
    <row r="4010" spans="1:7" x14ac:dyDescent="0.15">
      <c r="A4010" s="41" t="s">
        <v>9307</v>
      </c>
      <c r="B4010" s="25" t="s">
        <v>11310</v>
      </c>
      <c r="C4010" s="19" t="s">
        <v>11311</v>
      </c>
      <c r="D4010" s="42" t="str">
        <f t="shared" si="290"/>
        <v>https://rmda.kulib.kyoto-u.ac.jp/item/rb00002938?page=281</v>
      </c>
      <c r="E4010" s="22"/>
      <c r="F4010" s="22"/>
      <c r="G4010" s="22"/>
    </row>
    <row r="4011" spans="1:7" x14ac:dyDescent="0.15">
      <c r="A4011" s="41" t="s">
        <v>9307</v>
      </c>
      <c r="B4011" s="25" t="s">
        <v>11312</v>
      </c>
      <c r="C4011" s="19" t="s">
        <v>11313</v>
      </c>
      <c r="D4011" s="42" t="str">
        <f t="shared" si="290"/>
        <v>https://rmda.kulib.kyoto-u.ac.jp/item/rb00002938?page=281</v>
      </c>
      <c r="E4011" s="22"/>
      <c r="F4011" s="22"/>
      <c r="G4011" s="22"/>
    </row>
    <row r="4012" spans="1:7" x14ac:dyDescent="0.15">
      <c r="A4012" s="41" t="s">
        <v>9307</v>
      </c>
      <c r="B4012" s="25" t="s">
        <v>11314</v>
      </c>
      <c r="C4012" s="19" t="s">
        <v>11315</v>
      </c>
      <c r="D4012" s="42" t="str">
        <f>HYPERLINK("https://rmda.kulib.kyoto-u.ac.jp/item/rb00002938?page=282")</f>
        <v>https://rmda.kulib.kyoto-u.ac.jp/item/rb00002938?page=282</v>
      </c>
      <c r="E4012" s="22"/>
      <c r="F4012" s="22"/>
      <c r="G4012" s="22"/>
    </row>
    <row r="4013" spans="1:7" x14ac:dyDescent="0.15">
      <c r="A4013" s="41" t="s">
        <v>9307</v>
      </c>
      <c r="B4013" s="25" t="s">
        <v>11316</v>
      </c>
      <c r="C4013" s="19" t="s">
        <v>11317</v>
      </c>
      <c r="D4013" s="42" t="str">
        <f>HYPERLINK("https://rmda.kulib.kyoto-u.ac.jp/item/rb00002938?page=282")</f>
        <v>https://rmda.kulib.kyoto-u.ac.jp/item/rb00002938?page=282</v>
      </c>
      <c r="E4013" s="22"/>
      <c r="F4013" s="22"/>
      <c r="G4013" s="22"/>
    </row>
    <row r="4014" spans="1:7" x14ac:dyDescent="0.15">
      <c r="A4014" s="41" t="s">
        <v>9307</v>
      </c>
      <c r="B4014" s="25" t="s">
        <v>11318</v>
      </c>
      <c r="C4014" s="19" t="s">
        <v>11319</v>
      </c>
      <c r="D4014" s="42" t="str">
        <f>HYPERLINK("https://rmda.kulib.kyoto-u.ac.jp/item/rb00002938?page=286")</f>
        <v>https://rmda.kulib.kyoto-u.ac.jp/item/rb00002938?page=286</v>
      </c>
      <c r="E4014" s="22"/>
      <c r="F4014" s="22"/>
      <c r="G4014" s="22"/>
    </row>
    <row r="4015" spans="1:7" x14ac:dyDescent="0.15">
      <c r="A4015" s="41" t="s">
        <v>9307</v>
      </c>
      <c r="B4015" s="25" t="s">
        <v>11320</v>
      </c>
      <c r="C4015" s="19" t="s">
        <v>11321</v>
      </c>
      <c r="D4015" s="42" t="str">
        <f>HYPERLINK("https://rmda.kulib.kyoto-u.ac.jp/item/rb00002938?page=287")</f>
        <v>https://rmda.kulib.kyoto-u.ac.jp/item/rb00002938?page=287</v>
      </c>
      <c r="E4015" s="22"/>
      <c r="F4015" s="22"/>
      <c r="G4015" s="22"/>
    </row>
    <row r="4016" spans="1:7" x14ac:dyDescent="0.15">
      <c r="A4016" s="41" t="s">
        <v>9307</v>
      </c>
      <c r="B4016" s="25" t="s">
        <v>11322</v>
      </c>
      <c r="C4016" s="19" t="s">
        <v>11323</v>
      </c>
      <c r="D4016" s="42" t="str">
        <f>HYPERLINK("https://rmda.kulib.kyoto-u.ac.jp/item/rb00002938?page=287")</f>
        <v>https://rmda.kulib.kyoto-u.ac.jp/item/rb00002938?page=287</v>
      </c>
      <c r="E4016" s="22"/>
      <c r="F4016" s="22"/>
      <c r="G4016" s="22"/>
    </row>
    <row r="4017" spans="1:7" x14ac:dyDescent="0.15">
      <c r="A4017" s="41" t="s">
        <v>9307</v>
      </c>
      <c r="B4017" s="25" t="s">
        <v>11324</v>
      </c>
      <c r="C4017" s="19" t="s">
        <v>11325</v>
      </c>
      <c r="D4017" s="42" t="str">
        <f>HYPERLINK("https://rmda.kulib.kyoto-u.ac.jp/item/rb00002938?page=288")</f>
        <v>https://rmda.kulib.kyoto-u.ac.jp/item/rb00002938?page=288</v>
      </c>
      <c r="E4017" s="22"/>
      <c r="F4017" s="22"/>
      <c r="G4017" s="22"/>
    </row>
    <row r="4018" spans="1:7" x14ac:dyDescent="0.15">
      <c r="A4018" s="41" t="s">
        <v>9307</v>
      </c>
      <c r="B4018" s="25" t="s">
        <v>11326</v>
      </c>
      <c r="C4018" s="19" t="s">
        <v>11327</v>
      </c>
      <c r="D4018" s="42" t="str">
        <f>HYPERLINK("https://rmda.kulib.kyoto-u.ac.jp/item/rb00002938?page=288")</f>
        <v>https://rmda.kulib.kyoto-u.ac.jp/item/rb00002938?page=288</v>
      </c>
      <c r="E4018" s="22"/>
      <c r="F4018" s="22"/>
      <c r="G4018" s="22"/>
    </row>
    <row r="4019" spans="1:7" x14ac:dyDescent="0.15">
      <c r="A4019" s="41" t="s">
        <v>9307</v>
      </c>
      <c r="B4019" s="25" t="s">
        <v>11328</v>
      </c>
      <c r="C4019" s="19" t="s">
        <v>11329</v>
      </c>
      <c r="D4019" s="42" t="str">
        <f>HYPERLINK("https://rmda.kulib.kyoto-u.ac.jp/item/rb00002938?page=288")</f>
        <v>https://rmda.kulib.kyoto-u.ac.jp/item/rb00002938?page=288</v>
      </c>
      <c r="E4019" s="22"/>
      <c r="F4019" s="22"/>
      <c r="G4019" s="22"/>
    </row>
    <row r="4020" spans="1:7" x14ac:dyDescent="0.15">
      <c r="A4020" s="41" t="s">
        <v>9307</v>
      </c>
      <c r="B4020" s="25" t="s">
        <v>11330</v>
      </c>
      <c r="C4020" s="19" t="s">
        <v>11331</v>
      </c>
      <c r="D4020" s="42" t="str">
        <f>HYPERLINK("https://rmda.kulib.kyoto-u.ac.jp/item/rb00002938?page=288")</f>
        <v>https://rmda.kulib.kyoto-u.ac.jp/item/rb00002938?page=288</v>
      </c>
      <c r="E4020" s="22"/>
      <c r="F4020" s="22"/>
      <c r="G4020" s="22"/>
    </row>
    <row r="4021" spans="1:7" x14ac:dyDescent="0.15">
      <c r="A4021" s="41" t="s">
        <v>9307</v>
      </c>
      <c r="B4021" s="25" t="s">
        <v>11332</v>
      </c>
      <c r="C4021" s="19" t="s">
        <v>11333</v>
      </c>
      <c r="D4021" s="42" t="str">
        <f>HYPERLINK("https://rmda.kulib.kyoto-u.ac.jp/item/rb00002938?page=288")</f>
        <v>https://rmda.kulib.kyoto-u.ac.jp/item/rb00002938?page=288</v>
      </c>
      <c r="E4021" s="22"/>
      <c r="F4021" s="22"/>
      <c r="G4021" s="22"/>
    </row>
    <row r="4022" spans="1:7" x14ac:dyDescent="0.15">
      <c r="A4022" s="41" t="s">
        <v>9307</v>
      </c>
      <c r="B4022" s="25" t="s">
        <v>11334</v>
      </c>
      <c r="C4022" s="19" t="s">
        <v>11335</v>
      </c>
      <c r="D4022" s="42" t="str">
        <f>HYPERLINK("https://rmda.kulib.kyoto-u.ac.jp/item/rb00002938?page=289")</f>
        <v>https://rmda.kulib.kyoto-u.ac.jp/item/rb00002938?page=289</v>
      </c>
      <c r="E4022" s="22"/>
      <c r="F4022" s="22"/>
      <c r="G4022" s="22"/>
    </row>
    <row r="4023" spans="1:7" x14ac:dyDescent="0.15">
      <c r="A4023" s="41" t="s">
        <v>9307</v>
      </c>
      <c r="B4023" s="25" t="s">
        <v>11336</v>
      </c>
      <c r="C4023" s="19" t="s">
        <v>11337</v>
      </c>
      <c r="D4023" s="42" t="str">
        <f>HYPERLINK("https://rmda.kulib.kyoto-u.ac.jp/item/rb00002938?page=289")</f>
        <v>https://rmda.kulib.kyoto-u.ac.jp/item/rb00002938?page=289</v>
      </c>
      <c r="E4023" s="22"/>
      <c r="F4023" s="22"/>
      <c r="G4023" s="22"/>
    </row>
    <row r="4024" spans="1:7" x14ac:dyDescent="0.15">
      <c r="A4024" s="41" t="s">
        <v>9307</v>
      </c>
      <c r="B4024" s="25" t="s">
        <v>11338</v>
      </c>
      <c r="C4024" s="19" t="s">
        <v>11339</v>
      </c>
      <c r="D4024" s="42" t="str">
        <f>HYPERLINK("https://rmda.kulib.kyoto-u.ac.jp/item/rb00002938?page=289")</f>
        <v>https://rmda.kulib.kyoto-u.ac.jp/item/rb00002938?page=289</v>
      </c>
      <c r="E4024" s="22"/>
      <c r="F4024" s="22"/>
      <c r="G4024" s="22"/>
    </row>
    <row r="4025" spans="1:7" x14ac:dyDescent="0.15">
      <c r="A4025" s="41" t="s">
        <v>9307</v>
      </c>
      <c r="B4025" s="25" t="s">
        <v>11340</v>
      </c>
      <c r="C4025" s="19" t="s">
        <v>11341</v>
      </c>
      <c r="D4025" s="42" t="str">
        <f>HYPERLINK("https://rmda.kulib.kyoto-u.ac.jp/item/rb00002938?page=289")</f>
        <v>https://rmda.kulib.kyoto-u.ac.jp/item/rb00002938?page=289</v>
      </c>
      <c r="E4025" s="22"/>
      <c r="F4025" s="22"/>
      <c r="G4025" s="22"/>
    </row>
    <row r="4026" spans="1:7" x14ac:dyDescent="0.15">
      <c r="A4026" s="41" t="s">
        <v>9307</v>
      </c>
      <c r="B4026" s="25" t="s">
        <v>11342</v>
      </c>
      <c r="C4026" s="19" t="s">
        <v>11343</v>
      </c>
      <c r="D4026" s="42" t="str">
        <f>HYPERLINK("https://rmda.kulib.kyoto-u.ac.jp/item/rb00002938?page=290")</f>
        <v>https://rmda.kulib.kyoto-u.ac.jp/item/rb00002938?page=290</v>
      </c>
      <c r="E4026" s="22"/>
      <c r="F4026" s="22"/>
      <c r="G4026" s="22"/>
    </row>
    <row r="4027" spans="1:7" x14ac:dyDescent="0.15">
      <c r="A4027" s="41" t="s">
        <v>9307</v>
      </c>
      <c r="B4027" s="25" t="s">
        <v>11344</v>
      </c>
      <c r="C4027" s="19" t="s">
        <v>11345</v>
      </c>
      <c r="D4027" s="42" t="str">
        <f>HYPERLINK("https://rmda.kulib.kyoto-u.ac.jp/item/rb00002938?page=290")</f>
        <v>https://rmda.kulib.kyoto-u.ac.jp/item/rb00002938?page=290</v>
      </c>
      <c r="E4027" s="22"/>
      <c r="F4027" s="22"/>
      <c r="G4027" s="22"/>
    </row>
    <row r="4028" spans="1:7" x14ac:dyDescent="0.15">
      <c r="A4028" s="41" t="s">
        <v>9307</v>
      </c>
      <c r="B4028" s="25" t="s">
        <v>11346</v>
      </c>
      <c r="C4028" s="19" t="s">
        <v>11347</v>
      </c>
      <c r="D4028" s="42" t="str">
        <f>HYPERLINK("https://rmda.kulib.kyoto-u.ac.jp/item/rb00002938?page=290")</f>
        <v>https://rmda.kulib.kyoto-u.ac.jp/item/rb00002938?page=290</v>
      </c>
      <c r="E4028" s="22"/>
      <c r="F4028" s="22"/>
      <c r="G4028" s="22"/>
    </row>
    <row r="4029" spans="1:7" x14ac:dyDescent="0.15">
      <c r="A4029" s="41" t="s">
        <v>9307</v>
      </c>
      <c r="B4029" s="25" t="s">
        <v>11348</v>
      </c>
      <c r="C4029" s="19" t="s">
        <v>11349</v>
      </c>
      <c r="D4029" s="42" t="str">
        <f>HYPERLINK("https://rmda.kulib.kyoto-u.ac.jp/item/rb00002938?page=290")</f>
        <v>https://rmda.kulib.kyoto-u.ac.jp/item/rb00002938?page=290</v>
      </c>
      <c r="E4029" s="22"/>
      <c r="F4029" s="22"/>
      <c r="G4029" s="22"/>
    </row>
    <row r="4030" spans="1:7" x14ac:dyDescent="0.15">
      <c r="A4030" s="41" t="s">
        <v>9307</v>
      </c>
      <c r="B4030" s="25" t="s">
        <v>11350</v>
      </c>
      <c r="C4030" s="19" t="s">
        <v>11351</v>
      </c>
      <c r="D4030" s="42" t="str">
        <f>HYPERLINK("https://rmda.kulib.kyoto-u.ac.jp/item/rb00002938?page=290")</f>
        <v>https://rmda.kulib.kyoto-u.ac.jp/item/rb00002938?page=290</v>
      </c>
      <c r="E4030" s="22"/>
      <c r="F4030" s="22"/>
      <c r="G4030" s="22"/>
    </row>
    <row r="4031" spans="1:7" x14ac:dyDescent="0.15">
      <c r="A4031" s="41" t="s">
        <v>9307</v>
      </c>
      <c r="B4031" s="25" t="s">
        <v>11352</v>
      </c>
      <c r="C4031" s="19" t="s">
        <v>11353</v>
      </c>
      <c r="D4031" s="42" t="str">
        <f t="shared" ref="D4031:D4036" si="291">HYPERLINK("https://rmda.kulib.kyoto-u.ac.jp/item/rb00002938?page=291")</f>
        <v>https://rmda.kulib.kyoto-u.ac.jp/item/rb00002938?page=291</v>
      </c>
      <c r="E4031" s="22"/>
      <c r="F4031" s="22"/>
      <c r="G4031" s="22"/>
    </row>
    <row r="4032" spans="1:7" x14ac:dyDescent="0.15">
      <c r="A4032" s="41" t="s">
        <v>9307</v>
      </c>
      <c r="B4032" s="25" t="s">
        <v>11354</v>
      </c>
      <c r="C4032" s="19" t="s">
        <v>11355</v>
      </c>
      <c r="D4032" s="42" t="str">
        <f t="shared" si="291"/>
        <v>https://rmda.kulib.kyoto-u.ac.jp/item/rb00002938?page=291</v>
      </c>
      <c r="E4032" s="22"/>
      <c r="F4032" s="22"/>
      <c r="G4032" s="22"/>
    </row>
    <row r="4033" spans="1:7" x14ac:dyDescent="0.15">
      <c r="A4033" s="41" t="s">
        <v>9307</v>
      </c>
      <c r="B4033" s="25" t="s">
        <v>11356</v>
      </c>
      <c r="C4033" s="19" t="s">
        <v>11357</v>
      </c>
      <c r="D4033" s="42" t="str">
        <f t="shared" si="291"/>
        <v>https://rmda.kulib.kyoto-u.ac.jp/item/rb00002938?page=291</v>
      </c>
      <c r="E4033" s="22"/>
      <c r="F4033" s="22"/>
      <c r="G4033" s="22"/>
    </row>
    <row r="4034" spans="1:7" x14ac:dyDescent="0.15">
      <c r="A4034" s="41" t="s">
        <v>9307</v>
      </c>
      <c r="B4034" s="25" t="s">
        <v>11358</v>
      </c>
      <c r="C4034" s="19" t="s">
        <v>11359</v>
      </c>
      <c r="D4034" s="42" t="str">
        <f t="shared" si="291"/>
        <v>https://rmda.kulib.kyoto-u.ac.jp/item/rb00002938?page=291</v>
      </c>
      <c r="E4034" s="22"/>
      <c r="F4034" s="22"/>
      <c r="G4034" s="22"/>
    </row>
    <row r="4035" spans="1:7" x14ac:dyDescent="0.15">
      <c r="A4035" s="41" t="s">
        <v>9307</v>
      </c>
      <c r="B4035" s="25" t="s">
        <v>11360</v>
      </c>
      <c r="C4035" s="19" t="s">
        <v>11361</v>
      </c>
      <c r="D4035" s="42" t="str">
        <f t="shared" si="291"/>
        <v>https://rmda.kulib.kyoto-u.ac.jp/item/rb00002938?page=291</v>
      </c>
      <c r="E4035" s="22"/>
      <c r="F4035" s="22"/>
      <c r="G4035" s="22"/>
    </row>
    <row r="4036" spans="1:7" x14ac:dyDescent="0.15">
      <c r="A4036" s="41" t="s">
        <v>9307</v>
      </c>
      <c r="B4036" s="25" t="s">
        <v>11362</v>
      </c>
      <c r="C4036" s="19" t="s">
        <v>11363</v>
      </c>
      <c r="D4036" s="42" t="str">
        <f t="shared" si="291"/>
        <v>https://rmda.kulib.kyoto-u.ac.jp/item/rb00002938?page=291</v>
      </c>
      <c r="E4036" s="22"/>
      <c r="F4036" s="22"/>
      <c r="G4036" s="22"/>
    </row>
    <row r="4037" spans="1:7" x14ac:dyDescent="0.15">
      <c r="A4037" s="41" t="s">
        <v>9307</v>
      </c>
      <c r="B4037" s="25" t="s">
        <v>11364</v>
      </c>
      <c r="C4037" s="19" t="s">
        <v>11365</v>
      </c>
      <c r="D4037" s="42" t="str">
        <f>HYPERLINK("https://rmda.kulib.kyoto-u.ac.jp/item/rb00002938?page=292")</f>
        <v>https://rmda.kulib.kyoto-u.ac.jp/item/rb00002938?page=292</v>
      </c>
      <c r="E4037" s="22"/>
      <c r="F4037" s="22"/>
      <c r="G4037" s="22"/>
    </row>
    <row r="4038" spans="1:7" x14ac:dyDescent="0.15">
      <c r="A4038" s="41" t="s">
        <v>9307</v>
      </c>
      <c r="B4038" s="25" t="s">
        <v>11366</v>
      </c>
      <c r="C4038" s="19" t="s">
        <v>11367</v>
      </c>
      <c r="D4038" s="42" t="str">
        <f>HYPERLINK("https://rmda.kulib.kyoto-u.ac.jp/item/rb00002938?page=292")</f>
        <v>https://rmda.kulib.kyoto-u.ac.jp/item/rb00002938?page=292</v>
      </c>
      <c r="E4038" s="22"/>
      <c r="F4038" s="22"/>
      <c r="G4038" s="22"/>
    </row>
    <row r="4039" spans="1:7" x14ac:dyDescent="0.15">
      <c r="A4039" s="41" t="s">
        <v>9307</v>
      </c>
      <c r="B4039" s="25" t="s">
        <v>11368</v>
      </c>
      <c r="C4039" s="19" t="s">
        <v>11369</v>
      </c>
      <c r="D4039" s="42" t="str">
        <f>HYPERLINK("https://rmda.kulib.kyoto-u.ac.jp/item/rb00002938?page=293")</f>
        <v>https://rmda.kulib.kyoto-u.ac.jp/item/rb00002938?page=293</v>
      </c>
      <c r="E4039" s="22"/>
      <c r="F4039" s="22"/>
      <c r="G4039" s="22"/>
    </row>
    <row r="4040" spans="1:7" x14ac:dyDescent="0.15">
      <c r="A4040" s="41" t="s">
        <v>9307</v>
      </c>
      <c r="B4040" s="25" t="s">
        <v>11370</v>
      </c>
      <c r="C4040" s="19" t="s">
        <v>11371</v>
      </c>
      <c r="D4040" s="42" t="str">
        <f>HYPERLINK("https://rmda.kulib.kyoto-u.ac.jp/item/rb00002938?page=293")</f>
        <v>https://rmda.kulib.kyoto-u.ac.jp/item/rb00002938?page=293</v>
      </c>
      <c r="E4040" s="22"/>
      <c r="F4040" s="22"/>
      <c r="G4040" s="22"/>
    </row>
    <row r="4041" spans="1:7" x14ac:dyDescent="0.15">
      <c r="A4041" s="41" t="s">
        <v>9307</v>
      </c>
      <c r="B4041" s="25" t="s">
        <v>11372</v>
      </c>
      <c r="C4041" s="19" t="s">
        <v>11373</v>
      </c>
      <c r="D4041" s="42" t="str">
        <f>HYPERLINK("https://rmda.kulib.kyoto-u.ac.jp/item/rb00002938?page=293")</f>
        <v>https://rmda.kulib.kyoto-u.ac.jp/item/rb00002938?page=293</v>
      </c>
      <c r="E4041" s="22"/>
      <c r="F4041" s="22"/>
      <c r="G4041" s="22"/>
    </row>
    <row r="4042" spans="1:7" x14ac:dyDescent="0.15">
      <c r="A4042" s="41" t="s">
        <v>9307</v>
      </c>
      <c r="B4042" s="25" t="s">
        <v>11374</v>
      </c>
      <c r="C4042" s="19" t="s">
        <v>11375</v>
      </c>
      <c r="D4042" s="42" t="str">
        <f>HYPERLINK("https://rmda.kulib.kyoto-u.ac.jp/item/rb00002938?page=294")</f>
        <v>https://rmda.kulib.kyoto-u.ac.jp/item/rb00002938?page=294</v>
      </c>
      <c r="E4042" s="22"/>
      <c r="F4042" s="22"/>
      <c r="G4042" s="22"/>
    </row>
    <row r="4043" spans="1:7" x14ac:dyDescent="0.15">
      <c r="A4043" s="41" t="s">
        <v>9307</v>
      </c>
      <c r="B4043" s="25" t="s">
        <v>11376</v>
      </c>
      <c r="C4043" s="19" t="s">
        <v>11377</v>
      </c>
      <c r="D4043" s="42" t="str">
        <f>HYPERLINK("https://rmda.kulib.kyoto-u.ac.jp/item/rb00002938?page=294")</f>
        <v>https://rmda.kulib.kyoto-u.ac.jp/item/rb00002938?page=294</v>
      </c>
      <c r="E4043" s="22"/>
      <c r="F4043" s="22"/>
      <c r="G4043" s="22"/>
    </row>
    <row r="4044" spans="1:7" x14ac:dyDescent="0.15">
      <c r="A4044" s="41" t="s">
        <v>9307</v>
      </c>
      <c r="B4044" s="25" t="s">
        <v>11378</v>
      </c>
      <c r="C4044" s="19" t="s">
        <v>11379</v>
      </c>
      <c r="D4044" s="42" t="str">
        <f>HYPERLINK("https://rmda.kulib.kyoto-u.ac.jp/item/rb00002938?page=295")</f>
        <v>https://rmda.kulib.kyoto-u.ac.jp/item/rb00002938?page=295</v>
      </c>
      <c r="E4044" s="22"/>
      <c r="F4044" s="22"/>
      <c r="G4044" s="22"/>
    </row>
    <row r="4045" spans="1:7" x14ac:dyDescent="0.15">
      <c r="A4045" s="41" t="s">
        <v>9307</v>
      </c>
      <c r="B4045" s="25" t="s">
        <v>11380</v>
      </c>
      <c r="C4045" s="19" t="s">
        <v>11381</v>
      </c>
      <c r="D4045" s="42" t="str">
        <f>HYPERLINK("https://rmda.kulib.kyoto-u.ac.jp/item/rb00002938?page=297")</f>
        <v>https://rmda.kulib.kyoto-u.ac.jp/item/rb00002938?page=297</v>
      </c>
      <c r="E4045" s="22"/>
      <c r="F4045" s="22"/>
      <c r="G4045" s="22"/>
    </row>
    <row r="4046" spans="1:7" x14ac:dyDescent="0.15">
      <c r="A4046" s="41" t="s">
        <v>9307</v>
      </c>
      <c r="B4046" s="25" t="s">
        <v>11382</v>
      </c>
      <c r="C4046" s="19" t="s">
        <v>11383</v>
      </c>
      <c r="D4046" s="42" t="str">
        <f>HYPERLINK("https://rmda.kulib.kyoto-u.ac.jp/item/rb00002938?page=297")</f>
        <v>https://rmda.kulib.kyoto-u.ac.jp/item/rb00002938?page=297</v>
      </c>
      <c r="E4046" s="22"/>
      <c r="F4046" s="22"/>
      <c r="G4046" s="22"/>
    </row>
    <row r="4047" spans="1:7" x14ac:dyDescent="0.15">
      <c r="A4047" s="41" t="s">
        <v>9307</v>
      </c>
      <c r="B4047" s="25" t="s">
        <v>11384</v>
      </c>
      <c r="C4047" s="19" t="s">
        <v>11385</v>
      </c>
      <c r="D4047" s="42" t="str">
        <f>HYPERLINK("https://rmda.kulib.kyoto-u.ac.jp/item/rb00002938?page=297")</f>
        <v>https://rmda.kulib.kyoto-u.ac.jp/item/rb00002938?page=297</v>
      </c>
      <c r="E4047" s="22"/>
      <c r="F4047" s="22"/>
      <c r="G4047" s="22"/>
    </row>
    <row r="4048" spans="1:7" x14ac:dyDescent="0.15">
      <c r="A4048" s="41" t="s">
        <v>9307</v>
      </c>
      <c r="B4048" s="25" t="s">
        <v>11386</v>
      </c>
      <c r="C4048" s="19" t="s">
        <v>11387</v>
      </c>
      <c r="D4048" s="42" t="str">
        <f>HYPERLINK("https://rmda.kulib.kyoto-u.ac.jp/item/rb00002938?page=297")</f>
        <v>https://rmda.kulib.kyoto-u.ac.jp/item/rb00002938?page=297</v>
      </c>
      <c r="E4048" s="22"/>
      <c r="F4048" s="22"/>
      <c r="G4048" s="22"/>
    </row>
    <row r="4049" spans="1:7" x14ac:dyDescent="0.15">
      <c r="A4049" s="41" t="s">
        <v>9307</v>
      </c>
      <c r="B4049" s="25" t="s">
        <v>11388</v>
      </c>
      <c r="C4049" s="19" t="s">
        <v>11389</v>
      </c>
      <c r="D4049" s="42" t="str">
        <f t="shared" ref="D4049:D4054" si="292">HYPERLINK("https://rmda.kulib.kyoto-u.ac.jp/item/rb00002938?page=298")</f>
        <v>https://rmda.kulib.kyoto-u.ac.jp/item/rb00002938?page=298</v>
      </c>
      <c r="E4049" s="22"/>
      <c r="F4049" s="22"/>
      <c r="G4049" s="22"/>
    </row>
    <row r="4050" spans="1:7" x14ac:dyDescent="0.15">
      <c r="A4050" s="41" t="s">
        <v>9307</v>
      </c>
      <c r="B4050" s="25" t="s">
        <v>11390</v>
      </c>
      <c r="C4050" s="19" t="s">
        <v>11391</v>
      </c>
      <c r="D4050" s="42" t="str">
        <f t="shared" si="292"/>
        <v>https://rmda.kulib.kyoto-u.ac.jp/item/rb00002938?page=298</v>
      </c>
      <c r="E4050" s="22"/>
      <c r="F4050" s="22"/>
      <c r="G4050" s="22"/>
    </row>
    <row r="4051" spans="1:7" x14ac:dyDescent="0.15">
      <c r="A4051" s="41" t="s">
        <v>9307</v>
      </c>
      <c r="B4051" s="25" t="s">
        <v>11392</v>
      </c>
      <c r="C4051" s="19" t="s">
        <v>11393</v>
      </c>
      <c r="D4051" s="42" t="str">
        <f t="shared" si="292"/>
        <v>https://rmda.kulib.kyoto-u.ac.jp/item/rb00002938?page=298</v>
      </c>
      <c r="E4051" s="22"/>
      <c r="F4051" s="22"/>
      <c r="G4051" s="22"/>
    </row>
    <row r="4052" spans="1:7" x14ac:dyDescent="0.15">
      <c r="A4052" s="41" t="s">
        <v>9307</v>
      </c>
      <c r="B4052" s="25" t="s">
        <v>11394</v>
      </c>
      <c r="C4052" s="19" t="s">
        <v>11395</v>
      </c>
      <c r="D4052" s="42" t="str">
        <f t="shared" si="292"/>
        <v>https://rmda.kulib.kyoto-u.ac.jp/item/rb00002938?page=298</v>
      </c>
      <c r="E4052" s="22"/>
      <c r="F4052" s="22"/>
      <c r="G4052" s="22"/>
    </row>
    <row r="4053" spans="1:7" x14ac:dyDescent="0.15">
      <c r="A4053" s="41" t="s">
        <v>9307</v>
      </c>
      <c r="B4053" s="25" t="s">
        <v>11396</v>
      </c>
      <c r="C4053" s="19" t="s">
        <v>11397</v>
      </c>
      <c r="D4053" s="42" t="str">
        <f t="shared" si="292"/>
        <v>https://rmda.kulib.kyoto-u.ac.jp/item/rb00002938?page=298</v>
      </c>
      <c r="E4053" s="22"/>
      <c r="F4053" s="22"/>
      <c r="G4053" s="22"/>
    </row>
    <row r="4054" spans="1:7" x14ac:dyDescent="0.15">
      <c r="A4054" s="41" t="s">
        <v>9307</v>
      </c>
      <c r="B4054" s="25" t="s">
        <v>11398</v>
      </c>
      <c r="C4054" s="19" t="s">
        <v>11399</v>
      </c>
      <c r="D4054" s="42" t="str">
        <f t="shared" si="292"/>
        <v>https://rmda.kulib.kyoto-u.ac.jp/item/rb00002938?page=298</v>
      </c>
      <c r="E4054" s="22"/>
      <c r="F4054" s="22"/>
      <c r="G4054" s="22"/>
    </row>
    <row r="4055" spans="1:7" x14ac:dyDescent="0.15">
      <c r="A4055" s="41" t="s">
        <v>9307</v>
      </c>
      <c r="B4055" s="25" t="s">
        <v>11400</v>
      </c>
      <c r="C4055" s="19" t="s">
        <v>11401</v>
      </c>
      <c r="D4055" s="42" t="str">
        <f t="shared" ref="D4055:D4061" si="293">HYPERLINK("https://rmda.kulib.kyoto-u.ac.jp/item/rb00002938?page=299")</f>
        <v>https://rmda.kulib.kyoto-u.ac.jp/item/rb00002938?page=299</v>
      </c>
      <c r="E4055" s="22"/>
      <c r="F4055" s="22"/>
      <c r="G4055" s="22"/>
    </row>
    <row r="4056" spans="1:7" x14ac:dyDescent="0.15">
      <c r="A4056" s="41" t="s">
        <v>9307</v>
      </c>
      <c r="B4056" s="25" t="s">
        <v>11402</v>
      </c>
      <c r="C4056" s="19" t="s">
        <v>11403</v>
      </c>
      <c r="D4056" s="42" t="str">
        <f t="shared" si="293"/>
        <v>https://rmda.kulib.kyoto-u.ac.jp/item/rb00002938?page=299</v>
      </c>
      <c r="E4056" s="22"/>
      <c r="F4056" s="22"/>
      <c r="G4056" s="22"/>
    </row>
    <row r="4057" spans="1:7" x14ac:dyDescent="0.15">
      <c r="A4057" s="41" t="s">
        <v>9307</v>
      </c>
      <c r="B4057" s="25" t="s">
        <v>11404</v>
      </c>
      <c r="C4057" s="19" t="s">
        <v>11405</v>
      </c>
      <c r="D4057" s="42" t="str">
        <f t="shared" si="293"/>
        <v>https://rmda.kulib.kyoto-u.ac.jp/item/rb00002938?page=299</v>
      </c>
      <c r="E4057" s="22"/>
      <c r="F4057" s="22"/>
      <c r="G4057" s="22"/>
    </row>
    <row r="4058" spans="1:7" x14ac:dyDescent="0.15">
      <c r="A4058" s="41" t="s">
        <v>9307</v>
      </c>
      <c r="B4058" s="25" t="s">
        <v>11406</v>
      </c>
      <c r="C4058" s="19" t="s">
        <v>11407</v>
      </c>
      <c r="D4058" s="42" t="str">
        <f t="shared" si="293"/>
        <v>https://rmda.kulib.kyoto-u.ac.jp/item/rb00002938?page=299</v>
      </c>
      <c r="E4058" s="22"/>
      <c r="F4058" s="22"/>
      <c r="G4058" s="22"/>
    </row>
    <row r="4059" spans="1:7" x14ac:dyDescent="0.15">
      <c r="A4059" s="41" t="s">
        <v>9307</v>
      </c>
      <c r="B4059" s="25" t="s">
        <v>11408</v>
      </c>
      <c r="C4059" s="19" t="s">
        <v>11409</v>
      </c>
      <c r="D4059" s="42" t="str">
        <f t="shared" si="293"/>
        <v>https://rmda.kulib.kyoto-u.ac.jp/item/rb00002938?page=299</v>
      </c>
      <c r="E4059" s="22"/>
      <c r="F4059" s="22"/>
      <c r="G4059" s="22"/>
    </row>
    <row r="4060" spans="1:7" x14ac:dyDescent="0.15">
      <c r="A4060" s="41" t="s">
        <v>9307</v>
      </c>
      <c r="B4060" s="25" t="s">
        <v>11410</v>
      </c>
      <c r="C4060" s="19" t="s">
        <v>11411</v>
      </c>
      <c r="D4060" s="42" t="str">
        <f t="shared" si="293"/>
        <v>https://rmda.kulib.kyoto-u.ac.jp/item/rb00002938?page=299</v>
      </c>
      <c r="E4060" s="22"/>
      <c r="F4060" s="22"/>
      <c r="G4060" s="22"/>
    </row>
    <row r="4061" spans="1:7" x14ac:dyDescent="0.15">
      <c r="A4061" s="41" t="s">
        <v>9307</v>
      </c>
      <c r="B4061" s="25" t="s">
        <v>11412</v>
      </c>
      <c r="C4061" s="19" t="s">
        <v>11413</v>
      </c>
      <c r="D4061" s="42" t="str">
        <f t="shared" si="293"/>
        <v>https://rmda.kulib.kyoto-u.ac.jp/item/rb00002938?page=299</v>
      </c>
      <c r="E4061" s="22"/>
      <c r="F4061" s="22"/>
      <c r="G4061" s="22"/>
    </row>
    <row r="4062" spans="1:7" x14ac:dyDescent="0.15">
      <c r="A4062" s="41" t="s">
        <v>9307</v>
      </c>
      <c r="B4062" s="25" t="s">
        <v>11414</v>
      </c>
      <c r="C4062" s="19" t="s">
        <v>11415</v>
      </c>
      <c r="D4062" s="42" t="str">
        <f t="shared" ref="D4062:D4072" si="294">HYPERLINK("https://rmda.kulib.kyoto-u.ac.jp/item/rb00002938?page=300")</f>
        <v>https://rmda.kulib.kyoto-u.ac.jp/item/rb00002938?page=300</v>
      </c>
      <c r="E4062" s="22"/>
      <c r="F4062" s="22"/>
      <c r="G4062" s="22"/>
    </row>
    <row r="4063" spans="1:7" x14ac:dyDescent="0.15">
      <c r="A4063" s="41" t="s">
        <v>9307</v>
      </c>
      <c r="B4063" s="25" t="s">
        <v>11416</v>
      </c>
      <c r="C4063" s="19" t="s">
        <v>11417</v>
      </c>
      <c r="D4063" s="42" t="str">
        <f t="shared" si="294"/>
        <v>https://rmda.kulib.kyoto-u.ac.jp/item/rb00002938?page=300</v>
      </c>
      <c r="E4063" s="22"/>
      <c r="F4063" s="22"/>
      <c r="G4063" s="22"/>
    </row>
    <row r="4064" spans="1:7" x14ac:dyDescent="0.15">
      <c r="A4064" s="41" t="s">
        <v>9307</v>
      </c>
      <c r="B4064" s="25" t="s">
        <v>11418</v>
      </c>
      <c r="C4064" s="19" t="s">
        <v>11419</v>
      </c>
      <c r="D4064" s="42" t="str">
        <f t="shared" si="294"/>
        <v>https://rmda.kulib.kyoto-u.ac.jp/item/rb00002938?page=300</v>
      </c>
      <c r="E4064" s="22"/>
      <c r="F4064" s="22"/>
      <c r="G4064" s="22"/>
    </row>
    <row r="4065" spans="1:7" x14ac:dyDescent="0.15">
      <c r="A4065" s="41" t="s">
        <v>9307</v>
      </c>
      <c r="B4065" s="25" t="s">
        <v>11420</v>
      </c>
      <c r="C4065" s="19" t="s">
        <v>11421</v>
      </c>
      <c r="D4065" s="42" t="str">
        <f t="shared" si="294"/>
        <v>https://rmda.kulib.kyoto-u.ac.jp/item/rb00002938?page=300</v>
      </c>
      <c r="E4065" s="22"/>
      <c r="F4065" s="22"/>
      <c r="G4065" s="22"/>
    </row>
    <row r="4066" spans="1:7" x14ac:dyDescent="0.15">
      <c r="A4066" s="41" t="s">
        <v>9307</v>
      </c>
      <c r="B4066" s="25" t="s">
        <v>11422</v>
      </c>
      <c r="C4066" s="19" t="s">
        <v>11423</v>
      </c>
      <c r="D4066" s="42" t="str">
        <f t="shared" si="294"/>
        <v>https://rmda.kulib.kyoto-u.ac.jp/item/rb00002938?page=300</v>
      </c>
      <c r="E4066" s="22"/>
      <c r="F4066" s="22"/>
      <c r="G4066" s="22"/>
    </row>
    <row r="4067" spans="1:7" x14ac:dyDescent="0.15">
      <c r="A4067" s="41" t="s">
        <v>9307</v>
      </c>
      <c r="B4067" s="25" t="s">
        <v>11424</v>
      </c>
      <c r="C4067" s="19" t="s">
        <v>11425</v>
      </c>
      <c r="D4067" s="42" t="str">
        <f t="shared" si="294"/>
        <v>https://rmda.kulib.kyoto-u.ac.jp/item/rb00002938?page=300</v>
      </c>
      <c r="E4067" s="22"/>
      <c r="F4067" s="22"/>
      <c r="G4067" s="22"/>
    </row>
    <row r="4068" spans="1:7" x14ac:dyDescent="0.15">
      <c r="A4068" s="41" t="s">
        <v>9307</v>
      </c>
      <c r="B4068" s="25" t="s">
        <v>11426</v>
      </c>
      <c r="C4068" s="19" t="s">
        <v>11427</v>
      </c>
      <c r="D4068" s="42" t="str">
        <f t="shared" si="294"/>
        <v>https://rmda.kulib.kyoto-u.ac.jp/item/rb00002938?page=300</v>
      </c>
      <c r="E4068" s="22"/>
      <c r="F4068" s="22"/>
      <c r="G4068" s="22"/>
    </row>
    <row r="4069" spans="1:7" x14ac:dyDescent="0.15">
      <c r="A4069" s="41" t="s">
        <v>9307</v>
      </c>
      <c r="B4069" s="25" t="s">
        <v>11428</v>
      </c>
      <c r="C4069" s="19" t="s">
        <v>11429</v>
      </c>
      <c r="D4069" s="42" t="str">
        <f t="shared" si="294"/>
        <v>https://rmda.kulib.kyoto-u.ac.jp/item/rb00002938?page=300</v>
      </c>
      <c r="E4069" s="22"/>
      <c r="F4069" s="22"/>
      <c r="G4069" s="22"/>
    </row>
    <row r="4070" spans="1:7" ht="18.75" x14ac:dyDescent="0.15">
      <c r="A4070" s="41" t="s">
        <v>9307</v>
      </c>
      <c r="B4070" s="25" t="s">
        <v>11430</v>
      </c>
      <c r="C4070" s="19" t="s">
        <v>11431</v>
      </c>
      <c r="D4070" s="42" t="str">
        <f t="shared" si="294"/>
        <v>https://rmda.kulib.kyoto-u.ac.jp/item/rb00002938?page=300</v>
      </c>
      <c r="E4070" s="22"/>
      <c r="F4070" s="22"/>
      <c r="G4070" s="22"/>
    </row>
    <row r="4071" spans="1:7" x14ac:dyDescent="0.15">
      <c r="A4071" s="41" t="s">
        <v>9307</v>
      </c>
      <c r="B4071" s="25" t="s">
        <v>11432</v>
      </c>
      <c r="C4071" s="19" t="s">
        <v>11433</v>
      </c>
      <c r="D4071" s="42" t="str">
        <f t="shared" si="294"/>
        <v>https://rmda.kulib.kyoto-u.ac.jp/item/rb00002938?page=300</v>
      </c>
      <c r="E4071" s="22"/>
      <c r="F4071" s="22"/>
      <c r="G4071" s="22"/>
    </row>
    <row r="4072" spans="1:7" x14ac:dyDescent="0.15">
      <c r="A4072" s="41" t="s">
        <v>9307</v>
      </c>
      <c r="B4072" s="25" t="s">
        <v>11434</v>
      </c>
      <c r="C4072" s="19" t="s">
        <v>11435</v>
      </c>
      <c r="D4072" s="42" t="str">
        <f t="shared" si="294"/>
        <v>https://rmda.kulib.kyoto-u.ac.jp/item/rb00002938?page=300</v>
      </c>
      <c r="E4072" s="22"/>
      <c r="F4072" s="22"/>
      <c r="G4072" s="22"/>
    </row>
    <row r="4073" spans="1:7" x14ac:dyDescent="0.15">
      <c r="A4073" s="41" t="s">
        <v>9307</v>
      </c>
      <c r="B4073" s="25" t="s">
        <v>11436</v>
      </c>
      <c r="C4073" s="19" t="s">
        <v>11437</v>
      </c>
      <c r="D4073" s="42" t="str">
        <f t="shared" ref="D4073:D4078" si="295">HYPERLINK("https://rmda.kulib.kyoto-u.ac.jp/item/rb00002938?page=301")</f>
        <v>https://rmda.kulib.kyoto-u.ac.jp/item/rb00002938?page=301</v>
      </c>
      <c r="E4073" s="22"/>
      <c r="F4073" s="22"/>
      <c r="G4073" s="22"/>
    </row>
    <row r="4074" spans="1:7" x14ac:dyDescent="0.15">
      <c r="A4074" s="41" t="s">
        <v>9307</v>
      </c>
      <c r="B4074" s="25" t="s">
        <v>11438</v>
      </c>
      <c r="C4074" s="19" t="s">
        <v>11439</v>
      </c>
      <c r="D4074" s="42" t="str">
        <f t="shared" si="295"/>
        <v>https://rmda.kulib.kyoto-u.ac.jp/item/rb00002938?page=301</v>
      </c>
      <c r="E4074" s="22"/>
      <c r="F4074" s="22"/>
      <c r="G4074" s="22"/>
    </row>
    <row r="4075" spans="1:7" x14ac:dyDescent="0.15">
      <c r="A4075" s="41" t="s">
        <v>9307</v>
      </c>
      <c r="B4075" s="25" t="s">
        <v>11440</v>
      </c>
      <c r="C4075" s="19" t="s">
        <v>11441</v>
      </c>
      <c r="D4075" s="42" t="str">
        <f t="shared" si="295"/>
        <v>https://rmda.kulib.kyoto-u.ac.jp/item/rb00002938?page=301</v>
      </c>
      <c r="E4075" s="22"/>
      <c r="F4075" s="22"/>
      <c r="G4075" s="22"/>
    </row>
    <row r="4076" spans="1:7" x14ac:dyDescent="0.15">
      <c r="A4076" s="41" t="s">
        <v>9307</v>
      </c>
      <c r="B4076" s="25" t="s">
        <v>11442</v>
      </c>
      <c r="C4076" s="19" t="s">
        <v>11443</v>
      </c>
      <c r="D4076" s="42" t="str">
        <f t="shared" si="295"/>
        <v>https://rmda.kulib.kyoto-u.ac.jp/item/rb00002938?page=301</v>
      </c>
      <c r="E4076" s="22"/>
      <c r="F4076" s="22"/>
      <c r="G4076" s="22"/>
    </row>
    <row r="4077" spans="1:7" x14ac:dyDescent="0.15">
      <c r="A4077" s="41" t="s">
        <v>9307</v>
      </c>
      <c r="B4077" s="25" t="s">
        <v>11444</v>
      </c>
      <c r="C4077" s="19" t="s">
        <v>11445</v>
      </c>
      <c r="D4077" s="42" t="str">
        <f t="shared" si="295"/>
        <v>https://rmda.kulib.kyoto-u.ac.jp/item/rb00002938?page=301</v>
      </c>
      <c r="E4077" s="22"/>
      <c r="F4077" s="22"/>
      <c r="G4077" s="22"/>
    </row>
    <row r="4078" spans="1:7" x14ac:dyDescent="0.15">
      <c r="A4078" s="41" t="s">
        <v>9307</v>
      </c>
      <c r="B4078" s="25" t="s">
        <v>11446</v>
      </c>
      <c r="C4078" s="19" t="s">
        <v>11447</v>
      </c>
      <c r="D4078" s="42" t="str">
        <f t="shared" si="295"/>
        <v>https://rmda.kulib.kyoto-u.ac.jp/item/rb00002938?page=301</v>
      </c>
      <c r="E4078" s="22"/>
      <c r="F4078" s="22"/>
      <c r="G4078" s="22"/>
    </row>
    <row r="4079" spans="1:7" x14ac:dyDescent="0.15">
      <c r="A4079" s="41" t="s">
        <v>9307</v>
      </c>
      <c r="B4079" s="25" t="s">
        <v>11448</v>
      </c>
      <c r="C4079" s="19" t="s">
        <v>11449</v>
      </c>
      <c r="D4079" s="42" t="str">
        <f>HYPERLINK("https://rmda.kulib.kyoto-u.ac.jp/item/rb00002938?page=302")</f>
        <v>https://rmda.kulib.kyoto-u.ac.jp/item/rb00002938?page=302</v>
      </c>
      <c r="E4079" s="22"/>
      <c r="F4079" s="22"/>
      <c r="G4079" s="22"/>
    </row>
    <row r="4080" spans="1:7" x14ac:dyDescent="0.15">
      <c r="A4080" s="41" t="s">
        <v>9307</v>
      </c>
      <c r="B4080" s="25" t="s">
        <v>11450</v>
      </c>
      <c r="C4080" s="19" t="s">
        <v>11451</v>
      </c>
      <c r="D4080" s="42" t="str">
        <f>HYPERLINK("https://rmda.kulib.kyoto-u.ac.jp/item/rb00002938?page=302")</f>
        <v>https://rmda.kulib.kyoto-u.ac.jp/item/rb00002938?page=302</v>
      </c>
      <c r="E4080" s="22"/>
      <c r="F4080" s="22"/>
      <c r="G4080" s="22"/>
    </row>
    <row r="4081" spans="1:7" x14ac:dyDescent="0.15">
      <c r="A4081" s="41" t="s">
        <v>9307</v>
      </c>
      <c r="B4081" s="25" t="s">
        <v>11452</v>
      </c>
      <c r="C4081" s="19" t="s">
        <v>11453</v>
      </c>
      <c r="D4081" s="42" t="str">
        <f>HYPERLINK("https://rmda.kulib.kyoto-u.ac.jp/item/rb00002938?page=302")</f>
        <v>https://rmda.kulib.kyoto-u.ac.jp/item/rb00002938?page=302</v>
      </c>
      <c r="E4081" s="22"/>
      <c r="F4081" s="22"/>
      <c r="G4081" s="22"/>
    </row>
    <row r="4082" spans="1:7" x14ac:dyDescent="0.15">
      <c r="A4082" s="41" t="s">
        <v>9307</v>
      </c>
      <c r="B4082" s="25" t="s">
        <v>11454</v>
      </c>
      <c r="C4082" s="19" t="s">
        <v>11455</v>
      </c>
      <c r="D4082" s="42" t="str">
        <f>HYPERLINK("https://rmda.kulib.kyoto-u.ac.jp/item/rb00002938?page=302")</f>
        <v>https://rmda.kulib.kyoto-u.ac.jp/item/rb00002938?page=302</v>
      </c>
      <c r="E4082" s="22"/>
      <c r="F4082" s="22"/>
      <c r="G4082" s="22"/>
    </row>
    <row r="4083" spans="1:7" x14ac:dyDescent="0.15">
      <c r="A4083" s="41" t="s">
        <v>9307</v>
      </c>
      <c r="B4083" s="25" t="s">
        <v>11456</v>
      </c>
      <c r="C4083" s="19" t="s">
        <v>11457</v>
      </c>
      <c r="D4083" s="42" t="str">
        <f>HYPERLINK("https://rmda.kulib.kyoto-u.ac.jp/item/rb00002938?page=302")</f>
        <v>https://rmda.kulib.kyoto-u.ac.jp/item/rb00002938?page=302</v>
      </c>
      <c r="E4083" s="22"/>
      <c r="F4083" s="22"/>
      <c r="G4083" s="22"/>
    </row>
    <row r="4084" spans="1:7" x14ac:dyDescent="0.15">
      <c r="A4084" s="41" t="s">
        <v>9307</v>
      </c>
      <c r="B4084" s="25" t="s">
        <v>11458</v>
      </c>
      <c r="C4084" s="19" t="s">
        <v>11459</v>
      </c>
      <c r="D4084" s="42" t="str">
        <f>HYPERLINK("https://rmda.kulib.kyoto-u.ac.jp/item/rb00002938?page=303")</f>
        <v>https://rmda.kulib.kyoto-u.ac.jp/item/rb00002938?page=303</v>
      </c>
      <c r="E4084" s="22"/>
      <c r="F4084" s="22"/>
      <c r="G4084" s="22"/>
    </row>
    <row r="4085" spans="1:7" x14ac:dyDescent="0.15">
      <c r="A4085" s="41" t="s">
        <v>9307</v>
      </c>
      <c r="B4085" s="25" t="s">
        <v>11460</v>
      </c>
      <c r="C4085" s="19" t="s">
        <v>11461</v>
      </c>
      <c r="D4085" s="42" t="str">
        <f>HYPERLINK("https://rmda.kulib.kyoto-u.ac.jp/item/rb00002938?page=303")</f>
        <v>https://rmda.kulib.kyoto-u.ac.jp/item/rb00002938?page=303</v>
      </c>
      <c r="E4085" s="22"/>
      <c r="F4085" s="22"/>
      <c r="G4085" s="22"/>
    </row>
    <row r="4086" spans="1:7" x14ac:dyDescent="0.15">
      <c r="A4086" s="41" t="s">
        <v>9307</v>
      </c>
      <c r="B4086" s="25" t="s">
        <v>11462</v>
      </c>
      <c r="C4086" s="19" t="s">
        <v>11463</v>
      </c>
      <c r="D4086" s="42" t="str">
        <f>HYPERLINK("https://rmda.kulib.kyoto-u.ac.jp/item/rb00002938?page=303")</f>
        <v>https://rmda.kulib.kyoto-u.ac.jp/item/rb00002938?page=303</v>
      </c>
      <c r="E4086" s="22"/>
      <c r="F4086" s="22"/>
      <c r="G4086" s="22"/>
    </row>
    <row r="4087" spans="1:7" x14ac:dyDescent="0.15">
      <c r="A4087" s="41" t="s">
        <v>9307</v>
      </c>
      <c r="B4087" s="25" t="s">
        <v>11464</v>
      </c>
      <c r="C4087" s="19" t="s">
        <v>11465</v>
      </c>
      <c r="D4087" s="42" t="str">
        <f>HYPERLINK("https://rmda.kulib.kyoto-u.ac.jp/item/rb00002938?page=303")</f>
        <v>https://rmda.kulib.kyoto-u.ac.jp/item/rb00002938?page=303</v>
      </c>
      <c r="E4087" s="22"/>
      <c r="F4087" s="22"/>
      <c r="G4087" s="22"/>
    </row>
    <row r="4088" spans="1:7" x14ac:dyDescent="0.15">
      <c r="A4088" s="41" t="s">
        <v>9307</v>
      </c>
      <c r="B4088" s="25" t="s">
        <v>11466</v>
      </c>
      <c r="C4088" s="19" t="s">
        <v>11467</v>
      </c>
      <c r="D4088" s="42" t="str">
        <f>HYPERLINK("https://rmda.kulib.kyoto-u.ac.jp/item/rb00002938?page=304")</f>
        <v>https://rmda.kulib.kyoto-u.ac.jp/item/rb00002938?page=304</v>
      </c>
      <c r="E4088" s="22"/>
      <c r="F4088" s="22"/>
      <c r="G4088" s="22"/>
    </row>
    <row r="4089" spans="1:7" ht="18.75" x14ac:dyDescent="0.15">
      <c r="A4089" s="41" t="s">
        <v>9307</v>
      </c>
      <c r="B4089" s="25" t="s">
        <v>11468</v>
      </c>
      <c r="C4089" s="19" t="s">
        <v>11469</v>
      </c>
      <c r="D4089" s="42" t="str">
        <f>HYPERLINK("https://rmda.kulib.kyoto-u.ac.jp/item/rb00002938?page=304")</f>
        <v>https://rmda.kulib.kyoto-u.ac.jp/item/rb00002938?page=304</v>
      </c>
      <c r="E4089" s="22"/>
      <c r="F4089" s="22"/>
      <c r="G4089" s="22"/>
    </row>
    <row r="4090" spans="1:7" ht="18.75" x14ac:dyDescent="0.15">
      <c r="A4090" s="41" t="s">
        <v>9307</v>
      </c>
      <c r="B4090" s="25" t="s">
        <v>11470</v>
      </c>
      <c r="C4090" s="19" t="s">
        <v>11471</v>
      </c>
      <c r="D4090" s="42" t="str">
        <f>HYPERLINK("https://rmda.kulib.kyoto-u.ac.jp/item/rb00002938?page=304")</f>
        <v>https://rmda.kulib.kyoto-u.ac.jp/item/rb00002938?page=304</v>
      </c>
      <c r="E4090" s="22"/>
      <c r="F4090" s="22"/>
      <c r="G4090" s="22"/>
    </row>
    <row r="4091" spans="1:7" ht="18.75" x14ac:dyDescent="0.15">
      <c r="A4091" s="41" t="s">
        <v>9307</v>
      </c>
      <c r="B4091" s="25" t="s">
        <v>11472</v>
      </c>
      <c r="C4091" s="19" t="s">
        <v>11473</v>
      </c>
      <c r="D4091" s="42" t="str">
        <f>HYPERLINK("https://rmda.kulib.kyoto-u.ac.jp/item/rb00002938?page=304")</f>
        <v>https://rmda.kulib.kyoto-u.ac.jp/item/rb00002938?page=304</v>
      </c>
      <c r="E4091" s="22"/>
      <c r="F4091" s="22"/>
      <c r="G4091" s="22"/>
    </row>
    <row r="4092" spans="1:7" ht="18.75" x14ac:dyDescent="0.15">
      <c r="A4092" s="41" t="s">
        <v>9307</v>
      </c>
      <c r="B4092" s="25" t="s">
        <v>11474</v>
      </c>
      <c r="C4092" s="19" t="s">
        <v>11475</v>
      </c>
      <c r="D4092" s="42" t="str">
        <f t="shared" ref="D4092:D4100" si="296">HYPERLINK("https://rmda.kulib.kyoto-u.ac.jp/item/rb00002938?page=305")</f>
        <v>https://rmda.kulib.kyoto-u.ac.jp/item/rb00002938?page=305</v>
      </c>
      <c r="E4092" s="22"/>
      <c r="F4092" s="22"/>
      <c r="G4092" s="22"/>
    </row>
    <row r="4093" spans="1:7" x14ac:dyDescent="0.15">
      <c r="A4093" s="41" t="s">
        <v>9307</v>
      </c>
      <c r="B4093" s="25" t="s">
        <v>11476</v>
      </c>
      <c r="C4093" s="19" t="s">
        <v>11477</v>
      </c>
      <c r="D4093" s="42" t="str">
        <f t="shared" si="296"/>
        <v>https://rmda.kulib.kyoto-u.ac.jp/item/rb00002938?page=305</v>
      </c>
      <c r="E4093" s="22"/>
      <c r="F4093" s="22"/>
      <c r="G4093" s="22"/>
    </row>
    <row r="4094" spans="1:7" x14ac:dyDescent="0.15">
      <c r="A4094" s="41" t="s">
        <v>9307</v>
      </c>
      <c r="B4094" s="25" t="s">
        <v>11478</v>
      </c>
      <c r="C4094" s="19" t="s">
        <v>11479</v>
      </c>
      <c r="D4094" s="42" t="str">
        <f t="shared" si="296"/>
        <v>https://rmda.kulib.kyoto-u.ac.jp/item/rb00002938?page=305</v>
      </c>
      <c r="E4094" s="22"/>
      <c r="F4094" s="22"/>
      <c r="G4094" s="22"/>
    </row>
    <row r="4095" spans="1:7" x14ac:dyDescent="0.15">
      <c r="A4095" s="41" t="s">
        <v>9307</v>
      </c>
      <c r="B4095" s="25" t="s">
        <v>11480</v>
      </c>
      <c r="C4095" s="19" t="s">
        <v>11481</v>
      </c>
      <c r="D4095" s="42" t="str">
        <f t="shared" si="296"/>
        <v>https://rmda.kulib.kyoto-u.ac.jp/item/rb00002938?page=305</v>
      </c>
      <c r="E4095" s="22"/>
      <c r="F4095" s="22"/>
      <c r="G4095" s="22"/>
    </row>
    <row r="4096" spans="1:7" x14ac:dyDescent="0.15">
      <c r="A4096" s="41" t="s">
        <v>9307</v>
      </c>
      <c r="B4096" s="25" t="s">
        <v>11482</v>
      </c>
      <c r="C4096" s="19" t="s">
        <v>11483</v>
      </c>
      <c r="D4096" s="42" t="str">
        <f t="shared" si="296"/>
        <v>https://rmda.kulib.kyoto-u.ac.jp/item/rb00002938?page=305</v>
      </c>
      <c r="E4096" s="22"/>
      <c r="F4096" s="22"/>
      <c r="G4096" s="22"/>
    </row>
    <row r="4097" spans="1:7" x14ac:dyDescent="0.15">
      <c r="A4097" s="41" t="s">
        <v>9307</v>
      </c>
      <c r="B4097" s="25" t="s">
        <v>11484</v>
      </c>
      <c r="C4097" s="19" t="s">
        <v>11485</v>
      </c>
      <c r="D4097" s="42" t="str">
        <f t="shared" si="296"/>
        <v>https://rmda.kulib.kyoto-u.ac.jp/item/rb00002938?page=305</v>
      </c>
      <c r="E4097" s="22"/>
      <c r="F4097" s="22"/>
      <c r="G4097" s="22"/>
    </row>
    <row r="4098" spans="1:7" x14ac:dyDescent="0.15">
      <c r="A4098" s="41" t="s">
        <v>9307</v>
      </c>
      <c r="B4098" s="25" t="s">
        <v>11486</v>
      </c>
      <c r="C4098" s="19" t="s">
        <v>11487</v>
      </c>
      <c r="D4098" s="42" t="str">
        <f t="shared" si="296"/>
        <v>https://rmda.kulib.kyoto-u.ac.jp/item/rb00002938?page=305</v>
      </c>
      <c r="E4098" s="22"/>
      <c r="F4098" s="22"/>
      <c r="G4098" s="22"/>
    </row>
    <row r="4099" spans="1:7" x14ac:dyDescent="0.15">
      <c r="A4099" s="41" t="s">
        <v>9307</v>
      </c>
      <c r="B4099" s="25" t="s">
        <v>11488</v>
      </c>
      <c r="C4099" s="19" t="s">
        <v>11489</v>
      </c>
      <c r="D4099" s="42" t="str">
        <f t="shared" si="296"/>
        <v>https://rmda.kulib.kyoto-u.ac.jp/item/rb00002938?page=305</v>
      </c>
      <c r="E4099" s="22"/>
      <c r="F4099" s="22"/>
      <c r="G4099" s="22"/>
    </row>
    <row r="4100" spans="1:7" x14ac:dyDescent="0.15">
      <c r="A4100" s="41" t="s">
        <v>9307</v>
      </c>
      <c r="B4100" s="25" t="s">
        <v>11490</v>
      </c>
      <c r="C4100" s="19" t="s">
        <v>11491</v>
      </c>
      <c r="D4100" s="42" t="str">
        <f t="shared" si="296"/>
        <v>https://rmda.kulib.kyoto-u.ac.jp/item/rb00002938?page=305</v>
      </c>
      <c r="E4100" s="22"/>
      <c r="F4100" s="22"/>
      <c r="G4100" s="22"/>
    </row>
    <row r="4101" spans="1:7" x14ac:dyDescent="0.15">
      <c r="A4101" s="41" t="s">
        <v>9307</v>
      </c>
      <c r="B4101" s="25" t="s">
        <v>11492</v>
      </c>
      <c r="C4101" s="19" t="s">
        <v>11493</v>
      </c>
      <c r="D4101" s="42" t="str">
        <f>HYPERLINK("https://rmda.kulib.kyoto-u.ac.jp/item/rb00002938?page=306")</f>
        <v>https://rmda.kulib.kyoto-u.ac.jp/item/rb00002938?page=306</v>
      </c>
      <c r="E4101" s="22"/>
      <c r="F4101" s="22"/>
      <c r="G4101" s="22"/>
    </row>
    <row r="4102" spans="1:7" x14ac:dyDescent="0.15">
      <c r="A4102" s="41" t="s">
        <v>9307</v>
      </c>
      <c r="B4102" s="25" t="s">
        <v>11494</v>
      </c>
      <c r="C4102" s="19" t="s">
        <v>11495</v>
      </c>
      <c r="D4102" s="42" t="str">
        <f>HYPERLINK("https://rmda.kulib.kyoto-u.ac.jp/item/rb00002938?page=306")</f>
        <v>https://rmda.kulib.kyoto-u.ac.jp/item/rb00002938?page=306</v>
      </c>
      <c r="E4102" s="22"/>
      <c r="F4102" s="22"/>
      <c r="G4102" s="22"/>
    </row>
    <row r="4103" spans="1:7" x14ac:dyDescent="0.15">
      <c r="A4103" s="41" t="s">
        <v>9307</v>
      </c>
      <c r="B4103" s="25" t="s">
        <v>11496</v>
      </c>
      <c r="C4103" s="19" t="s">
        <v>11497</v>
      </c>
      <c r="D4103" s="42" t="str">
        <f>HYPERLINK("https://rmda.kulib.kyoto-u.ac.jp/item/rb00002938?page=306")</f>
        <v>https://rmda.kulib.kyoto-u.ac.jp/item/rb00002938?page=306</v>
      </c>
      <c r="E4103" s="22"/>
      <c r="F4103" s="22"/>
      <c r="G4103" s="22"/>
    </row>
    <row r="4104" spans="1:7" x14ac:dyDescent="0.15">
      <c r="A4104" s="41" t="s">
        <v>9307</v>
      </c>
      <c r="B4104" s="25" t="s">
        <v>11498</v>
      </c>
      <c r="C4104" s="19" t="s">
        <v>11499</v>
      </c>
      <c r="D4104" s="42" t="str">
        <f>HYPERLINK("https://rmda.kulib.kyoto-u.ac.jp/item/rb00002938?page=306")</f>
        <v>https://rmda.kulib.kyoto-u.ac.jp/item/rb00002938?page=306</v>
      </c>
      <c r="E4104" s="22"/>
      <c r="F4104" s="22"/>
      <c r="G4104" s="22"/>
    </row>
    <row r="4105" spans="1:7" x14ac:dyDescent="0.15">
      <c r="A4105" s="41" t="s">
        <v>9307</v>
      </c>
      <c r="B4105" s="25" t="s">
        <v>11500</v>
      </c>
      <c r="C4105" s="19" t="s">
        <v>11501</v>
      </c>
      <c r="D4105" s="42" t="str">
        <f t="shared" ref="D4105:D4110" si="297">HYPERLINK("https://rmda.kulib.kyoto-u.ac.jp/item/rb00002938?page=307")</f>
        <v>https://rmda.kulib.kyoto-u.ac.jp/item/rb00002938?page=307</v>
      </c>
      <c r="E4105" s="22"/>
      <c r="F4105" s="22"/>
      <c r="G4105" s="22"/>
    </row>
    <row r="4106" spans="1:7" x14ac:dyDescent="0.15">
      <c r="A4106" s="41" t="s">
        <v>9307</v>
      </c>
      <c r="B4106" s="25" t="s">
        <v>11502</v>
      </c>
      <c r="C4106" s="19" t="s">
        <v>11503</v>
      </c>
      <c r="D4106" s="42" t="str">
        <f t="shared" si="297"/>
        <v>https://rmda.kulib.kyoto-u.ac.jp/item/rb00002938?page=307</v>
      </c>
      <c r="E4106" s="22"/>
      <c r="F4106" s="22"/>
      <c r="G4106" s="22"/>
    </row>
    <row r="4107" spans="1:7" x14ac:dyDescent="0.15">
      <c r="A4107" s="41" t="s">
        <v>9307</v>
      </c>
      <c r="B4107" s="25" t="s">
        <v>11504</v>
      </c>
      <c r="C4107" s="19" t="s">
        <v>11505</v>
      </c>
      <c r="D4107" s="42" t="str">
        <f t="shared" si="297"/>
        <v>https://rmda.kulib.kyoto-u.ac.jp/item/rb00002938?page=307</v>
      </c>
      <c r="E4107" s="22"/>
      <c r="F4107" s="22"/>
      <c r="G4107" s="22"/>
    </row>
    <row r="4108" spans="1:7" x14ac:dyDescent="0.15">
      <c r="A4108" s="41" t="s">
        <v>9307</v>
      </c>
      <c r="B4108" s="25" t="s">
        <v>11506</v>
      </c>
      <c r="C4108" s="19" t="s">
        <v>11507</v>
      </c>
      <c r="D4108" s="42" t="str">
        <f t="shared" si="297"/>
        <v>https://rmda.kulib.kyoto-u.ac.jp/item/rb00002938?page=307</v>
      </c>
      <c r="E4108" s="22"/>
      <c r="F4108" s="22"/>
      <c r="G4108" s="22"/>
    </row>
    <row r="4109" spans="1:7" x14ac:dyDescent="0.15">
      <c r="A4109" s="41" t="s">
        <v>9307</v>
      </c>
      <c r="B4109" s="25" t="s">
        <v>11508</v>
      </c>
      <c r="C4109" s="19" t="s">
        <v>11509</v>
      </c>
      <c r="D4109" s="42" t="str">
        <f t="shared" si="297"/>
        <v>https://rmda.kulib.kyoto-u.ac.jp/item/rb00002938?page=307</v>
      </c>
      <c r="E4109" s="22"/>
      <c r="F4109" s="22"/>
      <c r="G4109" s="22"/>
    </row>
    <row r="4110" spans="1:7" x14ac:dyDescent="0.15">
      <c r="A4110" s="41" t="s">
        <v>9307</v>
      </c>
      <c r="B4110" s="25" t="s">
        <v>11510</v>
      </c>
      <c r="C4110" s="19" t="s">
        <v>11511</v>
      </c>
      <c r="D4110" s="42" t="str">
        <f t="shared" si="297"/>
        <v>https://rmda.kulib.kyoto-u.ac.jp/item/rb00002938?page=307</v>
      </c>
      <c r="E4110" s="22"/>
      <c r="F4110" s="22"/>
      <c r="G4110" s="22"/>
    </row>
    <row r="4111" spans="1:7" ht="18.75" x14ac:dyDescent="0.15">
      <c r="A4111" s="41" t="s">
        <v>9307</v>
      </c>
      <c r="B4111" s="25" t="s">
        <v>11512</v>
      </c>
      <c r="C4111" s="19" t="s">
        <v>11513</v>
      </c>
      <c r="D4111" s="42" t="str">
        <f t="shared" ref="D4111:D4118" si="298">HYPERLINK("https://rmda.kulib.kyoto-u.ac.jp/item/rb00002938?page=308")</f>
        <v>https://rmda.kulib.kyoto-u.ac.jp/item/rb00002938?page=308</v>
      </c>
      <c r="E4111" s="22"/>
      <c r="F4111" s="22"/>
      <c r="G4111" s="22"/>
    </row>
    <row r="4112" spans="1:7" x14ac:dyDescent="0.15">
      <c r="A4112" s="41" t="s">
        <v>9307</v>
      </c>
      <c r="B4112" s="25" t="s">
        <v>11514</v>
      </c>
      <c r="C4112" s="19" t="s">
        <v>11515</v>
      </c>
      <c r="D4112" s="42" t="str">
        <f t="shared" si="298"/>
        <v>https://rmda.kulib.kyoto-u.ac.jp/item/rb00002938?page=308</v>
      </c>
      <c r="E4112" s="22"/>
      <c r="F4112" s="22"/>
      <c r="G4112" s="22"/>
    </row>
    <row r="4113" spans="1:7" x14ac:dyDescent="0.15">
      <c r="A4113" s="41" t="s">
        <v>9307</v>
      </c>
      <c r="B4113" s="25" t="s">
        <v>11516</v>
      </c>
      <c r="C4113" s="19" t="s">
        <v>11517</v>
      </c>
      <c r="D4113" s="42" t="str">
        <f t="shared" si="298"/>
        <v>https://rmda.kulib.kyoto-u.ac.jp/item/rb00002938?page=308</v>
      </c>
      <c r="E4113" s="22"/>
      <c r="F4113" s="22"/>
      <c r="G4113" s="22"/>
    </row>
    <row r="4114" spans="1:7" x14ac:dyDescent="0.15">
      <c r="A4114" s="41" t="s">
        <v>9307</v>
      </c>
      <c r="B4114" s="25" t="s">
        <v>11518</v>
      </c>
      <c r="C4114" s="19" t="s">
        <v>11519</v>
      </c>
      <c r="D4114" s="42" t="str">
        <f t="shared" si="298"/>
        <v>https://rmda.kulib.kyoto-u.ac.jp/item/rb00002938?page=308</v>
      </c>
      <c r="E4114" s="22"/>
      <c r="F4114" s="22"/>
      <c r="G4114" s="22"/>
    </row>
    <row r="4115" spans="1:7" x14ac:dyDescent="0.15">
      <c r="A4115" s="41" t="s">
        <v>9307</v>
      </c>
      <c r="B4115" s="25" t="s">
        <v>11520</v>
      </c>
      <c r="C4115" s="19" t="s">
        <v>11521</v>
      </c>
      <c r="D4115" s="42" t="str">
        <f t="shared" si="298"/>
        <v>https://rmda.kulib.kyoto-u.ac.jp/item/rb00002938?page=308</v>
      </c>
      <c r="E4115" s="22"/>
      <c r="F4115" s="22"/>
      <c r="G4115" s="22"/>
    </row>
    <row r="4116" spans="1:7" x14ac:dyDescent="0.15">
      <c r="A4116" s="41" t="s">
        <v>9307</v>
      </c>
      <c r="B4116" s="25" t="s">
        <v>11522</v>
      </c>
      <c r="C4116" s="19" t="s">
        <v>11523</v>
      </c>
      <c r="D4116" s="42" t="str">
        <f t="shared" si="298"/>
        <v>https://rmda.kulib.kyoto-u.ac.jp/item/rb00002938?page=308</v>
      </c>
      <c r="E4116" s="22"/>
      <c r="F4116" s="22"/>
      <c r="G4116" s="22"/>
    </row>
    <row r="4117" spans="1:7" x14ac:dyDescent="0.15">
      <c r="A4117" s="41" t="s">
        <v>9307</v>
      </c>
      <c r="B4117" s="25" t="s">
        <v>11524</v>
      </c>
      <c r="C4117" s="19" t="s">
        <v>11525</v>
      </c>
      <c r="D4117" s="42" t="str">
        <f t="shared" si="298"/>
        <v>https://rmda.kulib.kyoto-u.ac.jp/item/rb00002938?page=308</v>
      </c>
      <c r="E4117" s="22"/>
      <c r="F4117" s="22"/>
      <c r="G4117" s="22"/>
    </row>
    <row r="4118" spans="1:7" x14ac:dyDescent="0.15">
      <c r="A4118" s="41" t="s">
        <v>9307</v>
      </c>
      <c r="B4118" s="25" t="s">
        <v>11526</v>
      </c>
      <c r="C4118" s="19" t="s">
        <v>11527</v>
      </c>
      <c r="D4118" s="42" t="str">
        <f t="shared" si="298"/>
        <v>https://rmda.kulib.kyoto-u.ac.jp/item/rb00002938?page=308</v>
      </c>
      <c r="E4118" s="22"/>
      <c r="F4118" s="22"/>
      <c r="G4118" s="22"/>
    </row>
    <row r="4119" spans="1:7" x14ac:dyDescent="0.15">
      <c r="A4119" s="41" t="s">
        <v>9307</v>
      </c>
      <c r="B4119" s="25" t="s">
        <v>11528</v>
      </c>
      <c r="C4119" s="19" t="s">
        <v>11529</v>
      </c>
      <c r="D4119" s="42" t="str">
        <f t="shared" ref="D4119:D4126" si="299">HYPERLINK("https://rmda.kulib.kyoto-u.ac.jp/item/rb00002938?page=309")</f>
        <v>https://rmda.kulib.kyoto-u.ac.jp/item/rb00002938?page=309</v>
      </c>
      <c r="E4119" s="22"/>
      <c r="F4119" s="22"/>
      <c r="G4119" s="22"/>
    </row>
    <row r="4120" spans="1:7" x14ac:dyDescent="0.15">
      <c r="A4120" s="41" t="s">
        <v>9307</v>
      </c>
      <c r="B4120" s="25" t="s">
        <v>11530</v>
      </c>
      <c r="C4120" s="19" t="s">
        <v>11531</v>
      </c>
      <c r="D4120" s="42" t="str">
        <f t="shared" si="299"/>
        <v>https://rmda.kulib.kyoto-u.ac.jp/item/rb00002938?page=309</v>
      </c>
      <c r="E4120" s="22"/>
      <c r="F4120" s="22"/>
      <c r="G4120" s="22"/>
    </row>
    <row r="4121" spans="1:7" x14ac:dyDescent="0.15">
      <c r="A4121" s="41" t="s">
        <v>9307</v>
      </c>
      <c r="B4121" s="25" t="s">
        <v>11532</v>
      </c>
      <c r="C4121" s="19" t="s">
        <v>11533</v>
      </c>
      <c r="D4121" s="42" t="str">
        <f t="shared" si="299"/>
        <v>https://rmda.kulib.kyoto-u.ac.jp/item/rb00002938?page=309</v>
      </c>
      <c r="E4121" s="22"/>
      <c r="F4121" s="22"/>
      <c r="G4121" s="22"/>
    </row>
    <row r="4122" spans="1:7" x14ac:dyDescent="0.15">
      <c r="A4122" s="41" t="s">
        <v>9307</v>
      </c>
      <c r="B4122" s="25" t="s">
        <v>11534</v>
      </c>
      <c r="C4122" s="19" t="s">
        <v>11535</v>
      </c>
      <c r="D4122" s="42" t="str">
        <f t="shared" si="299"/>
        <v>https://rmda.kulib.kyoto-u.ac.jp/item/rb00002938?page=309</v>
      </c>
      <c r="E4122" s="22"/>
      <c r="F4122" s="22"/>
      <c r="G4122" s="22"/>
    </row>
    <row r="4123" spans="1:7" x14ac:dyDescent="0.15">
      <c r="A4123" s="41" t="s">
        <v>9307</v>
      </c>
      <c r="B4123" s="25" t="s">
        <v>11536</v>
      </c>
      <c r="C4123" s="19" t="s">
        <v>11537</v>
      </c>
      <c r="D4123" s="42" t="str">
        <f t="shared" si="299"/>
        <v>https://rmda.kulib.kyoto-u.ac.jp/item/rb00002938?page=309</v>
      </c>
      <c r="E4123" s="22"/>
      <c r="F4123" s="22"/>
      <c r="G4123" s="22"/>
    </row>
    <row r="4124" spans="1:7" x14ac:dyDescent="0.15">
      <c r="A4124" s="41" t="s">
        <v>9307</v>
      </c>
      <c r="B4124" s="25" t="s">
        <v>11538</v>
      </c>
      <c r="C4124" s="19" t="s">
        <v>11539</v>
      </c>
      <c r="D4124" s="42" t="str">
        <f t="shared" si="299"/>
        <v>https://rmda.kulib.kyoto-u.ac.jp/item/rb00002938?page=309</v>
      </c>
      <c r="E4124" s="22"/>
      <c r="F4124" s="22"/>
      <c r="G4124" s="22"/>
    </row>
    <row r="4125" spans="1:7" x14ac:dyDescent="0.15">
      <c r="A4125" s="41" t="s">
        <v>9307</v>
      </c>
      <c r="B4125" s="25" t="s">
        <v>11540</v>
      </c>
      <c r="C4125" s="19" t="s">
        <v>11541</v>
      </c>
      <c r="D4125" s="42" t="str">
        <f t="shared" si="299"/>
        <v>https://rmda.kulib.kyoto-u.ac.jp/item/rb00002938?page=309</v>
      </c>
      <c r="E4125" s="22"/>
      <c r="F4125" s="22"/>
      <c r="G4125" s="22"/>
    </row>
    <row r="4126" spans="1:7" x14ac:dyDescent="0.15">
      <c r="A4126" s="41" t="s">
        <v>9307</v>
      </c>
      <c r="B4126" s="25" t="s">
        <v>11542</v>
      </c>
      <c r="C4126" s="19" t="s">
        <v>11543</v>
      </c>
      <c r="D4126" s="42" t="str">
        <f t="shared" si="299"/>
        <v>https://rmda.kulib.kyoto-u.ac.jp/item/rb00002938?page=309</v>
      </c>
      <c r="E4126" s="22"/>
      <c r="F4126" s="22"/>
      <c r="G4126" s="22"/>
    </row>
    <row r="4127" spans="1:7" x14ac:dyDescent="0.15">
      <c r="A4127" s="41" t="s">
        <v>9307</v>
      </c>
      <c r="B4127" s="25" t="s">
        <v>11544</v>
      </c>
      <c r="C4127" s="19" t="s">
        <v>11545</v>
      </c>
      <c r="D4127" s="42" t="str">
        <f t="shared" ref="D4127:D4138" si="300">HYPERLINK("https://rmda.kulib.kyoto-u.ac.jp/item/rb00002938?page=310")</f>
        <v>https://rmda.kulib.kyoto-u.ac.jp/item/rb00002938?page=310</v>
      </c>
      <c r="E4127" s="22"/>
      <c r="F4127" s="22"/>
      <c r="G4127" s="22"/>
    </row>
    <row r="4128" spans="1:7" x14ac:dyDescent="0.15">
      <c r="A4128" s="41" t="s">
        <v>9307</v>
      </c>
      <c r="B4128" s="25" t="s">
        <v>11546</v>
      </c>
      <c r="C4128" s="19" t="s">
        <v>11547</v>
      </c>
      <c r="D4128" s="42" t="str">
        <f t="shared" si="300"/>
        <v>https://rmda.kulib.kyoto-u.ac.jp/item/rb00002938?page=310</v>
      </c>
      <c r="E4128" s="22"/>
      <c r="F4128" s="22"/>
      <c r="G4128" s="22"/>
    </row>
    <row r="4129" spans="1:7" x14ac:dyDescent="0.15">
      <c r="A4129" s="41" t="s">
        <v>9307</v>
      </c>
      <c r="B4129" s="25" t="s">
        <v>11548</v>
      </c>
      <c r="C4129" s="19" t="s">
        <v>11549</v>
      </c>
      <c r="D4129" s="42" t="str">
        <f t="shared" si="300"/>
        <v>https://rmda.kulib.kyoto-u.ac.jp/item/rb00002938?page=310</v>
      </c>
      <c r="E4129" s="22"/>
      <c r="F4129" s="22"/>
      <c r="G4129" s="22"/>
    </row>
    <row r="4130" spans="1:7" x14ac:dyDescent="0.15">
      <c r="A4130" s="41" t="s">
        <v>9307</v>
      </c>
      <c r="B4130" s="25" t="s">
        <v>11550</v>
      </c>
      <c r="C4130" s="19" t="s">
        <v>11551</v>
      </c>
      <c r="D4130" s="42" t="str">
        <f t="shared" si="300"/>
        <v>https://rmda.kulib.kyoto-u.ac.jp/item/rb00002938?page=310</v>
      </c>
      <c r="E4130" s="22"/>
      <c r="F4130" s="22"/>
      <c r="G4130" s="22"/>
    </row>
    <row r="4131" spans="1:7" x14ac:dyDescent="0.15">
      <c r="A4131" s="41" t="s">
        <v>9307</v>
      </c>
      <c r="B4131" s="25" t="s">
        <v>11552</v>
      </c>
      <c r="C4131" s="19" t="s">
        <v>11553</v>
      </c>
      <c r="D4131" s="42" t="str">
        <f t="shared" si="300"/>
        <v>https://rmda.kulib.kyoto-u.ac.jp/item/rb00002938?page=310</v>
      </c>
      <c r="E4131" s="22"/>
      <c r="F4131" s="22"/>
      <c r="G4131" s="22"/>
    </row>
    <row r="4132" spans="1:7" x14ac:dyDescent="0.15">
      <c r="A4132" s="41" t="s">
        <v>9307</v>
      </c>
      <c r="B4132" s="25" t="s">
        <v>11554</v>
      </c>
      <c r="C4132" s="19" t="s">
        <v>11555</v>
      </c>
      <c r="D4132" s="42" t="str">
        <f t="shared" si="300"/>
        <v>https://rmda.kulib.kyoto-u.ac.jp/item/rb00002938?page=310</v>
      </c>
      <c r="E4132" s="22"/>
      <c r="F4132" s="22"/>
      <c r="G4132" s="22"/>
    </row>
    <row r="4133" spans="1:7" x14ac:dyDescent="0.15">
      <c r="A4133" s="41" t="s">
        <v>9307</v>
      </c>
      <c r="B4133" s="25" t="s">
        <v>11556</v>
      </c>
      <c r="C4133" s="19" t="s">
        <v>11557</v>
      </c>
      <c r="D4133" s="42" t="str">
        <f t="shared" si="300"/>
        <v>https://rmda.kulib.kyoto-u.ac.jp/item/rb00002938?page=310</v>
      </c>
      <c r="E4133" s="22"/>
      <c r="F4133" s="22"/>
      <c r="G4133" s="22"/>
    </row>
    <row r="4134" spans="1:7" x14ac:dyDescent="0.15">
      <c r="A4134" s="41" t="s">
        <v>9307</v>
      </c>
      <c r="B4134" s="25" t="s">
        <v>11558</v>
      </c>
      <c r="C4134" s="19" t="s">
        <v>11559</v>
      </c>
      <c r="D4134" s="42" t="str">
        <f t="shared" si="300"/>
        <v>https://rmda.kulib.kyoto-u.ac.jp/item/rb00002938?page=310</v>
      </c>
      <c r="E4134" s="22"/>
      <c r="F4134" s="22"/>
      <c r="G4134" s="22"/>
    </row>
    <row r="4135" spans="1:7" x14ac:dyDescent="0.15">
      <c r="A4135" s="41" t="s">
        <v>9307</v>
      </c>
      <c r="B4135" s="25" t="s">
        <v>11560</v>
      </c>
      <c r="C4135" s="19" t="s">
        <v>11561</v>
      </c>
      <c r="D4135" s="42" t="str">
        <f t="shared" si="300"/>
        <v>https://rmda.kulib.kyoto-u.ac.jp/item/rb00002938?page=310</v>
      </c>
      <c r="E4135" s="22"/>
      <c r="F4135" s="22"/>
      <c r="G4135" s="22"/>
    </row>
    <row r="4136" spans="1:7" x14ac:dyDescent="0.15">
      <c r="A4136" s="41" t="s">
        <v>9307</v>
      </c>
      <c r="B4136" s="25" t="s">
        <v>11562</v>
      </c>
      <c r="C4136" s="19" t="s">
        <v>11563</v>
      </c>
      <c r="D4136" s="42" t="str">
        <f t="shared" si="300"/>
        <v>https://rmda.kulib.kyoto-u.ac.jp/item/rb00002938?page=310</v>
      </c>
      <c r="E4136" s="22"/>
      <c r="F4136" s="22"/>
      <c r="G4136" s="22"/>
    </row>
    <row r="4137" spans="1:7" x14ac:dyDescent="0.15">
      <c r="A4137" s="41" t="s">
        <v>9307</v>
      </c>
      <c r="B4137" s="25" t="s">
        <v>11564</v>
      </c>
      <c r="C4137" s="19" t="s">
        <v>11565</v>
      </c>
      <c r="D4137" s="42" t="str">
        <f t="shared" si="300"/>
        <v>https://rmda.kulib.kyoto-u.ac.jp/item/rb00002938?page=310</v>
      </c>
      <c r="E4137" s="22"/>
      <c r="F4137" s="22"/>
      <c r="G4137" s="22"/>
    </row>
    <row r="4138" spans="1:7" x14ac:dyDescent="0.15">
      <c r="A4138" s="41" t="s">
        <v>9307</v>
      </c>
      <c r="B4138" s="25" t="s">
        <v>11566</v>
      </c>
      <c r="C4138" s="19" t="s">
        <v>11567</v>
      </c>
      <c r="D4138" s="42" t="str">
        <f t="shared" si="300"/>
        <v>https://rmda.kulib.kyoto-u.ac.jp/item/rb00002938?page=310</v>
      </c>
      <c r="E4138" s="22"/>
      <c r="F4138" s="22"/>
      <c r="G4138" s="22"/>
    </row>
    <row r="4139" spans="1:7" x14ac:dyDescent="0.15">
      <c r="A4139" s="41" t="s">
        <v>9307</v>
      </c>
      <c r="B4139" s="25" t="s">
        <v>11568</v>
      </c>
      <c r="C4139" s="19" t="s">
        <v>11569</v>
      </c>
      <c r="D4139" s="42" t="str">
        <f t="shared" ref="D4139:D4147" si="301">HYPERLINK("https://rmda.kulib.kyoto-u.ac.jp/item/rb00002938?page=311")</f>
        <v>https://rmda.kulib.kyoto-u.ac.jp/item/rb00002938?page=311</v>
      </c>
      <c r="E4139" s="22"/>
      <c r="F4139" s="22"/>
      <c r="G4139" s="22"/>
    </row>
    <row r="4140" spans="1:7" x14ac:dyDescent="0.15">
      <c r="A4140" s="41" t="s">
        <v>9307</v>
      </c>
      <c r="B4140" s="25" t="s">
        <v>11570</v>
      </c>
      <c r="C4140" s="19" t="s">
        <v>11571</v>
      </c>
      <c r="D4140" s="42" t="str">
        <f t="shared" si="301"/>
        <v>https://rmda.kulib.kyoto-u.ac.jp/item/rb00002938?page=311</v>
      </c>
      <c r="E4140" s="22"/>
      <c r="F4140" s="22"/>
      <c r="G4140" s="22"/>
    </row>
    <row r="4141" spans="1:7" x14ac:dyDescent="0.15">
      <c r="A4141" s="41" t="s">
        <v>9307</v>
      </c>
      <c r="B4141" s="25" t="s">
        <v>11572</v>
      </c>
      <c r="C4141" s="19" t="s">
        <v>11573</v>
      </c>
      <c r="D4141" s="42" t="str">
        <f t="shared" si="301"/>
        <v>https://rmda.kulib.kyoto-u.ac.jp/item/rb00002938?page=311</v>
      </c>
      <c r="E4141" s="22"/>
      <c r="F4141" s="22"/>
      <c r="G4141" s="22"/>
    </row>
    <row r="4142" spans="1:7" x14ac:dyDescent="0.15">
      <c r="A4142" s="41" t="s">
        <v>9307</v>
      </c>
      <c r="B4142" s="25" t="s">
        <v>11574</v>
      </c>
      <c r="C4142" s="19" t="s">
        <v>11575</v>
      </c>
      <c r="D4142" s="42" t="str">
        <f t="shared" si="301"/>
        <v>https://rmda.kulib.kyoto-u.ac.jp/item/rb00002938?page=311</v>
      </c>
      <c r="E4142" s="22"/>
      <c r="F4142" s="22"/>
      <c r="G4142" s="22"/>
    </row>
    <row r="4143" spans="1:7" x14ac:dyDescent="0.15">
      <c r="A4143" s="41" t="s">
        <v>9307</v>
      </c>
      <c r="B4143" s="25" t="s">
        <v>11576</v>
      </c>
      <c r="C4143" s="19" t="s">
        <v>11577</v>
      </c>
      <c r="D4143" s="42" t="str">
        <f t="shared" si="301"/>
        <v>https://rmda.kulib.kyoto-u.ac.jp/item/rb00002938?page=311</v>
      </c>
      <c r="E4143" s="22"/>
      <c r="F4143" s="22"/>
      <c r="G4143" s="22"/>
    </row>
    <row r="4144" spans="1:7" x14ac:dyDescent="0.15">
      <c r="A4144" s="41" t="s">
        <v>9307</v>
      </c>
      <c r="B4144" s="25" t="s">
        <v>11578</v>
      </c>
      <c r="C4144" s="19" t="s">
        <v>11579</v>
      </c>
      <c r="D4144" s="42" t="str">
        <f t="shared" si="301"/>
        <v>https://rmda.kulib.kyoto-u.ac.jp/item/rb00002938?page=311</v>
      </c>
      <c r="E4144" s="22"/>
      <c r="F4144" s="22"/>
      <c r="G4144" s="22"/>
    </row>
    <row r="4145" spans="1:7" x14ac:dyDescent="0.15">
      <c r="A4145" s="41" t="s">
        <v>9307</v>
      </c>
      <c r="B4145" s="25" t="s">
        <v>11580</v>
      </c>
      <c r="C4145" s="19" t="s">
        <v>11581</v>
      </c>
      <c r="D4145" s="42" t="str">
        <f t="shared" si="301"/>
        <v>https://rmda.kulib.kyoto-u.ac.jp/item/rb00002938?page=311</v>
      </c>
      <c r="E4145" s="22"/>
      <c r="F4145" s="22"/>
      <c r="G4145" s="22"/>
    </row>
    <row r="4146" spans="1:7" x14ac:dyDescent="0.15">
      <c r="A4146" s="41" t="s">
        <v>9307</v>
      </c>
      <c r="B4146" s="25" t="s">
        <v>11582</v>
      </c>
      <c r="C4146" s="19" t="s">
        <v>11583</v>
      </c>
      <c r="D4146" s="42" t="str">
        <f t="shared" si="301"/>
        <v>https://rmda.kulib.kyoto-u.ac.jp/item/rb00002938?page=311</v>
      </c>
      <c r="E4146" s="22"/>
      <c r="F4146" s="22"/>
      <c r="G4146" s="22"/>
    </row>
    <row r="4147" spans="1:7" x14ac:dyDescent="0.15">
      <c r="A4147" s="41" t="s">
        <v>9307</v>
      </c>
      <c r="B4147" s="25" t="s">
        <v>11584</v>
      </c>
      <c r="C4147" s="19" t="s">
        <v>11585</v>
      </c>
      <c r="D4147" s="42" t="str">
        <f t="shared" si="301"/>
        <v>https://rmda.kulib.kyoto-u.ac.jp/item/rb00002938?page=311</v>
      </c>
      <c r="E4147" s="22"/>
      <c r="F4147" s="22"/>
      <c r="G4147" s="22"/>
    </row>
    <row r="4148" spans="1:7" x14ac:dyDescent="0.15">
      <c r="A4148" s="41" t="s">
        <v>9307</v>
      </c>
      <c r="B4148" s="25" t="s">
        <v>11586</v>
      </c>
      <c r="C4148" s="19" t="s">
        <v>11587</v>
      </c>
      <c r="D4148" s="42" t="str">
        <f t="shared" ref="D4148:D4153" si="302">HYPERLINK("https://rmda.kulib.kyoto-u.ac.jp/item/rb00002938?page=312")</f>
        <v>https://rmda.kulib.kyoto-u.ac.jp/item/rb00002938?page=312</v>
      </c>
      <c r="E4148" s="22"/>
      <c r="F4148" s="22"/>
      <c r="G4148" s="22"/>
    </row>
    <row r="4149" spans="1:7" x14ac:dyDescent="0.15">
      <c r="A4149" s="41" t="s">
        <v>9307</v>
      </c>
      <c r="B4149" s="25" t="s">
        <v>11588</v>
      </c>
      <c r="C4149" s="19" t="s">
        <v>11589</v>
      </c>
      <c r="D4149" s="42" t="str">
        <f t="shared" si="302"/>
        <v>https://rmda.kulib.kyoto-u.ac.jp/item/rb00002938?page=312</v>
      </c>
      <c r="E4149" s="22"/>
      <c r="F4149" s="22"/>
      <c r="G4149" s="22"/>
    </row>
    <row r="4150" spans="1:7" x14ac:dyDescent="0.15">
      <c r="A4150" s="41" t="s">
        <v>9307</v>
      </c>
      <c r="B4150" s="25" t="s">
        <v>11590</v>
      </c>
      <c r="C4150" s="19" t="s">
        <v>11591</v>
      </c>
      <c r="D4150" s="42" t="str">
        <f t="shared" si="302"/>
        <v>https://rmda.kulib.kyoto-u.ac.jp/item/rb00002938?page=312</v>
      </c>
      <c r="E4150" s="22"/>
      <c r="F4150" s="22"/>
      <c r="G4150" s="22"/>
    </row>
    <row r="4151" spans="1:7" x14ac:dyDescent="0.15">
      <c r="A4151" s="41" t="s">
        <v>9307</v>
      </c>
      <c r="B4151" s="25" t="s">
        <v>11592</v>
      </c>
      <c r="C4151" s="19" t="s">
        <v>11593</v>
      </c>
      <c r="D4151" s="42" t="str">
        <f t="shared" si="302"/>
        <v>https://rmda.kulib.kyoto-u.ac.jp/item/rb00002938?page=312</v>
      </c>
      <c r="E4151" s="22"/>
      <c r="F4151" s="22"/>
      <c r="G4151" s="22"/>
    </row>
    <row r="4152" spans="1:7" x14ac:dyDescent="0.15">
      <c r="A4152" s="41" t="s">
        <v>9307</v>
      </c>
      <c r="B4152" s="25" t="s">
        <v>11594</v>
      </c>
      <c r="C4152" s="19" t="s">
        <v>11595</v>
      </c>
      <c r="D4152" s="42" t="str">
        <f t="shared" si="302"/>
        <v>https://rmda.kulib.kyoto-u.ac.jp/item/rb00002938?page=312</v>
      </c>
      <c r="E4152" s="22"/>
      <c r="F4152" s="22"/>
      <c r="G4152" s="22"/>
    </row>
    <row r="4153" spans="1:7" x14ac:dyDescent="0.15">
      <c r="A4153" s="41" t="s">
        <v>9307</v>
      </c>
      <c r="B4153" s="25" t="s">
        <v>11596</v>
      </c>
      <c r="C4153" s="19" t="s">
        <v>11597</v>
      </c>
      <c r="D4153" s="42" t="str">
        <f t="shared" si="302"/>
        <v>https://rmda.kulib.kyoto-u.ac.jp/item/rb00002938?page=312</v>
      </c>
      <c r="E4153" s="22"/>
      <c r="F4153" s="22"/>
      <c r="G4153" s="22"/>
    </row>
    <row r="4154" spans="1:7" x14ac:dyDescent="0.15">
      <c r="A4154" s="41" t="s">
        <v>9307</v>
      </c>
      <c r="B4154" s="25" t="s">
        <v>6769</v>
      </c>
      <c r="C4154" s="19"/>
      <c r="D4154" s="42" t="str">
        <f>HYPERLINK("https://rmda.kulib.kyoto-u.ac.jp/item/rb00002938?page=315")</f>
        <v>https://rmda.kulib.kyoto-u.ac.jp/item/rb00002938?page=315</v>
      </c>
      <c r="E4154" s="22"/>
      <c r="F4154" s="22"/>
      <c r="G4154" s="22"/>
    </row>
    <row r="4155" spans="1:7" x14ac:dyDescent="0.15">
      <c r="A4155" s="41" t="s">
        <v>9307</v>
      </c>
      <c r="B4155" s="25" t="s">
        <v>11598</v>
      </c>
      <c r="C4155" s="19" t="s">
        <v>11599</v>
      </c>
      <c r="D4155" s="42" t="str">
        <f>HYPERLINK("https://rmda.kulib.kyoto-u.ac.jp/item/rb00002938?page=323")</f>
        <v>https://rmda.kulib.kyoto-u.ac.jp/item/rb00002938?page=323</v>
      </c>
      <c r="E4155" s="22"/>
      <c r="F4155" s="22"/>
      <c r="G4155" s="22"/>
    </row>
    <row r="4156" spans="1:7" x14ac:dyDescent="0.15">
      <c r="A4156" s="41" t="s">
        <v>9307</v>
      </c>
      <c r="B4156" s="25" t="s">
        <v>11600</v>
      </c>
      <c r="C4156" s="19" t="s">
        <v>11601</v>
      </c>
      <c r="D4156" s="42" t="str">
        <f>HYPERLINK("https://rmda.kulib.kyoto-u.ac.jp/item/rb00002938?page=323")</f>
        <v>https://rmda.kulib.kyoto-u.ac.jp/item/rb00002938?page=323</v>
      </c>
      <c r="E4156" s="22"/>
      <c r="F4156" s="22"/>
      <c r="G4156" s="22"/>
    </row>
    <row r="4157" spans="1:7" x14ac:dyDescent="0.15">
      <c r="A4157" s="41" t="s">
        <v>9307</v>
      </c>
      <c r="B4157" s="25" t="s">
        <v>11602</v>
      </c>
      <c r="C4157" s="19" t="s">
        <v>11603</v>
      </c>
      <c r="D4157" s="42" t="str">
        <f>HYPERLINK("https://rmda.kulib.kyoto-u.ac.jp/item/rb00002938?page=323")</f>
        <v>https://rmda.kulib.kyoto-u.ac.jp/item/rb00002938?page=323</v>
      </c>
      <c r="E4157" s="22"/>
      <c r="F4157" s="22"/>
      <c r="G4157" s="22"/>
    </row>
    <row r="4158" spans="1:7" x14ac:dyDescent="0.15">
      <c r="A4158" s="41" t="s">
        <v>9307</v>
      </c>
      <c r="B4158" s="25" t="s">
        <v>11604</v>
      </c>
      <c r="C4158" s="19" t="s">
        <v>11605</v>
      </c>
      <c r="D4158" s="42" t="str">
        <f>HYPERLINK("https://rmda.kulib.kyoto-u.ac.jp/item/rb00002938?page=324")</f>
        <v>https://rmda.kulib.kyoto-u.ac.jp/item/rb00002938?page=324</v>
      </c>
      <c r="E4158" s="22"/>
      <c r="F4158" s="22"/>
      <c r="G4158" s="22"/>
    </row>
    <row r="4159" spans="1:7" x14ac:dyDescent="0.15">
      <c r="A4159" s="41" t="s">
        <v>9307</v>
      </c>
      <c r="B4159" s="25" t="s">
        <v>11606</v>
      </c>
      <c r="C4159" s="19" t="s">
        <v>11607</v>
      </c>
      <c r="D4159" s="42" t="str">
        <f>HYPERLINK("https://rmda.kulib.kyoto-u.ac.jp/item/rb00002938?page=324")</f>
        <v>https://rmda.kulib.kyoto-u.ac.jp/item/rb00002938?page=324</v>
      </c>
      <c r="E4159" s="22"/>
      <c r="F4159" s="22"/>
      <c r="G4159" s="22"/>
    </row>
    <row r="4160" spans="1:7" x14ac:dyDescent="0.15">
      <c r="A4160" s="41" t="s">
        <v>9307</v>
      </c>
      <c r="B4160" s="25" t="s">
        <v>11608</v>
      </c>
      <c r="C4160" s="19" t="s">
        <v>11609</v>
      </c>
      <c r="D4160" s="42" t="str">
        <f>HYPERLINK("https://rmda.kulib.kyoto-u.ac.jp/item/rb00002938?page=324")</f>
        <v>https://rmda.kulib.kyoto-u.ac.jp/item/rb00002938?page=324</v>
      </c>
      <c r="E4160" s="22"/>
      <c r="F4160" s="22"/>
      <c r="G4160" s="22"/>
    </row>
    <row r="4161" spans="1:7" x14ac:dyDescent="0.15">
      <c r="A4161" s="41" t="s">
        <v>9307</v>
      </c>
      <c r="B4161" s="25" t="s">
        <v>11610</v>
      </c>
      <c r="C4161" s="19" t="s">
        <v>11611</v>
      </c>
      <c r="D4161" s="42" t="str">
        <f>HYPERLINK("https://rmda.kulib.kyoto-u.ac.jp/item/rb00002938?page=325")</f>
        <v>https://rmda.kulib.kyoto-u.ac.jp/item/rb00002938?page=325</v>
      </c>
      <c r="E4161" s="22"/>
      <c r="F4161" s="22"/>
      <c r="G4161" s="22"/>
    </row>
    <row r="4162" spans="1:7" ht="18.75" x14ac:dyDescent="0.15">
      <c r="A4162" s="41" t="s">
        <v>9307</v>
      </c>
      <c r="B4162" s="25" t="s">
        <v>11612</v>
      </c>
      <c r="C4162" s="19" t="s">
        <v>11613</v>
      </c>
      <c r="D4162" s="42" t="str">
        <f>HYPERLINK("https://rmda.kulib.kyoto-u.ac.jp/item/rb00002938?page=325")</f>
        <v>https://rmda.kulib.kyoto-u.ac.jp/item/rb00002938?page=325</v>
      </c>
      <c r="E4162" s="22"/>
      <c r="F4162" s="22"/>
      <c r="G4162" s="22"/>
    </row>
    <row r="4163" spans="1:7" x14ac:dyDescent="0.15">
      <c r="A4163" s="41" t="s">
        <v>9307</v>
      </c>
      <c r="B4163" s="25" t="s">
        <v>11614</v>
      </c>
      <c r="C4163" s="19" t="s">
        <v>11615</v>
      </c>
      <c r="D4163" s="42" t="str">
        <f>HYPERLINK("https://rmda.kulib.kyoto-u.ac.jp/item/rb00002938?page=325")</f>
        <v>https://rmda.kulib.kyoto-u.ac.jp/item/rb00002938?page=325</v>
      </c>
      <c r="E4163" s="22"/>
      <c r="F4163" s="22"/>
      <c r="G4163" s="22"/>
    </row>
    <row r="4164" spans="1:7" x14ac:dyDescent="0.15">
      <c r="A4164" s="41" t="s">
        <v>9307</v>
      </c>
      <c r="B4164" s="25" t="s">
        <v>11616</v>
      </c>
      <c r="C4164" s="19" t="s">
        <v>11617</v>
      </c>
      <c r="D4164" s="42" t="str">
        <f>HYPERLINK("https://rmda.kulib.kyoto-u.ac.jp/item/rb00002938?page=325")</f>
        <v>https://rmda.kulib.kyoto-u.ac.jp/item/rb00002938?page=325</v>
      </c>
      <c r="E4164" s="22"/>
      <c r="F4164" s="22"/>
      <c r="G4164" s="22"/>
    </row>
    <row r="4165" spans="1:7" x14ac:dyDescent="0.15">
      <c r="A4165" s="41" t="s">
        <v>9307</v>
      </c>
      <c r="B4165" s="25" t="s">
        <v>11618</v>
      </c>
      <c r="C4165" s="19" t="s">
        <v>11619</v>
      </c>
      <c r="D4165" s="42" t="str">
        <f>HYPERLINK("https://rmda.kulib.kyoto-u.ac.jp/item/rb00002938?page=325")</f>
        <v>https://rmda.kulib.kyoto-u.ac.jp/item/rb00002938?page=325</v>
      </c>
      <c r="E4165" s="22"/>
      <c r="F4165" s="22"/>
      <c r="G4165" s="22"/>
    </row>
    <row r="4166" spans="1:7" x14ac:dyDescent="0.15">
      <c r="A4166" s="41" t="s">
        <v>9307</v>
      </c>
      <c r="B4166" s="25" t="s">
        <v>11620</v>
      </c>
      <c r="C4166" s="19" t="s">
        <v>11621</v>
      </c>
      <c r="D4166" s="42" t="str">
        <f t="shared" ref="D4166:D4173" si="303">HYPERLINK("https://rmda.kulib.kyoto-u.ac.jp/item/rb00002938?page=326")</f>
        <v>https://rmda.kulib.kyoto-u.ac.jp/item/rb00002938?page=326</v>
      </c>
      <c r="E4166" s="22"/>
      <c r="F4166" s="22"/>
      <c r="G4166" s="22"/>
    </row>
    <row r="4167" spans="1:7" x14ac:dyDescent="0.15">
      <c r="A4167" s="41" t="s">
        <v>9307</v>
      </c>
      <c r="B4167" s="25" t="s">
        <v>11622</v>
      </c>
      <c r="C4167" s="19" t="s">
        <v>11623</v>
      </c>
      <c r="D4167" s="42" t="str">
        <f t="shared" si="303"/>
        <v>https://rmda.kulib.kyoto-u.ac.jp/item/rb00002938?page=326</v>
      </c>
      <c r="E4167" s="22"/>
      <c r="F4167" s="22"/>
      <c r="G4167" s="22"/>
    </row>
    <row r="4168" spans="1:7" x14ac:dyDescent="0.15">
      <c r="A4168" s="41" t="s">
        <v>9307</v>
      </c>
      <c r="B4168" s="25" t="s">
        <v>11624</v>
      </c>
      <c r="C4168" s="19" t="s">
        <v>11625</v>
      </c>
      <c r="D4168" s="42" t="str">
        <f t="shared" si="303"/>
        <v>https://rmda.kulib.kyoto-u.ac.jp/item/rb00002938?page=326</v>
      </c>
      <c r="E4168" s="22"/>
      <c r="F4168" s="22"/>
      <c r="G4168" s="22"/>
    </row>
    <row r="4169" spans="1:7" x14ac:dyDescent="0.15">
      <c r="A4169" s="41" t="s">
        <v>9307</v>
      </c>
      <c r="B4169" s="25" t="s">
        <v>11626</v>
      </c>
      <c r="C4169" s="19" t="s">
        <v>11627</v>
      </c>
      <c r="D4169" s="42" t="str">
        <f t="shared" si="303"/>
        <v>https://rmda.kulib.kyoto-u.ac.jp/item/rb00002938?page=326</v>
      </c>
      <c r="E4169" s="22"/>
      <c r="F4169" s="22"/>
      <c r="G4169" s="22"/>
    </row>
    <row r="4170" spans="1:7" x14ac:dyDescent="0.15">
      <c r="A4170" s="41" t="s">
        <v>9307</v>
      </c>
      <c r="B4170" s="25" t="s">
        <v>11628</v>
      </c>
      <c r="C4170" s="19" t="s">
        <v>11629</v>
      </c>
      <c r="D4170" s="42" t="str">
        <f t="shared" si="303"/>
        <v>https://rmda.kulib.kyoto-u.ac.jp/item/rb00002938?page=326</v>
      </c>
      <c r="E4170" s="22"/>
      <c r="F4170" s="22"/>
      <c r="G4170" s="22"/>
    </row>
    <row r="4171" spans="1:7" x14ac:dyDescent="0.15">
      <c r="A4171" s="41" t="s">
        <v>9307</v>
      </c>
      <c r="B4171" s="25" t="s">
        <v>11630</v>
      </c>
      <c r="C4171" s="19" t="s">
        <v>11631</v>
      </c>
      <c r="D4171" s="42" t="str">
        <f t="shared" si="303"/>
        <v>https://rmda.kulib.kyoto-u.ac.jp/item/rb00002938?page=326</v>
      </c>
      <c r="E4171" s="22"/>
      <c r="F4171" s="22"/>
      <c r="G4171" s="22"/>
    </row>
    <row r="4172" spans="1:7" x14ac:dyDescent="0.15">
      <c r="A4172" s="41" t="s">
        <v>9307</v>
      </c>
      <c r="B4172" s="25" t="s">
        <v>11632</v>
      </c>
      <c r="C4172" s="19" t="s">
        <v>11633</v>
      </c>
      <c r="D4172" s="42" t="str">
        <f t="shared" si="303"/>
        <v>https://rmda.kulib.kyoto-u.ac.jp/item/rb00002938?page=326</v>
      </c>
      <c r="E4172" s="22"/>
      <c r="F4172" s="22"/>
      <c r="G4172" s="22"/>
    </row>
    <row r="4173" spans="1:7" x14ac:dyDescent="0.15">
      <c r="A4173" s="41" t="s">
        <v>9307</v>
      </c>
      <c r="B4173" s="25" t="s">
        <v>11634</v>
      </c>
      <c r="C4173" s="19" t="s">
        <v>11635</v>
      </c>
      <c r="D4173" s="42" t="str">
        <f t="shared" si="303"/>
        <v>https://rmda.kulib.kyoto-u.ac.jp/item/rb00002938?page=326</v>
      </c>
      <c r="E4173" s="22"/>
      <c r="F4173" s="22"/>
      <c r="G4173" s="22"/>
    </row>
    <row r="4174" spans="1:7" x14ac:dyDescent="0.15">
      <c r="A4174" s="41" t="s">
        <v>9307</v>
      </c>
      <c r="B4174" s="25" t="s">
        <v>11636</v>
      </c>
      <c r="C4174" s="19" t="s">
        <v>11637</v>
      </c>
      <c r="D4174" s="42" t="str">
        <f>HYPERLINK("https://rmda.kulib.kyoto-u.ac.jp/item/rb00002938?page=327")</f>
        <v>https://rmda.kulib.kyoto-u.ac.jp/item/rb00002938?page=327</v>
      </c>
      <c r="E4174" s="22"/>
      <c r="F4174" s="22"/>
      <c r="G4174" s="22"/>
    </row>
    <row r="4175" spans="1:7" x14ac:dyDescent="0.15">
      <c r="A4175" s="41" t="s">
        <v>9307</v>
      </c>
      <c r="B4175" s="25" t="s">
        <v>11638</v>
      </c>
      <c r="C4175" s="19" t="s">
        <v>11639</v>
      </c>
      <c r="D4175" s="42" t="str">
        <f>HYPERLINK("https://rmda.kulib.kyoto-u.ac.jp/item/rb00002938?page=327")</f>
        <v>https://rmda.kulib.kyoto-u.ac.jp/item/rb00002938?page=327</v>
      </c>
      <c r="E4175" s="22"/>
      <c r="F4175" s="22"/>
      <c r="G4175" s="22"/>
    </row>
    <row r="4176" spans="1:7" x14ac:dyDescent="0.15">
      <c r="A4176" s="41" t="s">
        <v>9307</v>
      </c>
      <c r="B4176" s="25" t="s">
        <v>11640</v>
      </c>
      <c r="C4176" s="19" t="s">
        <v>11641</v>
      </c>
      <c r="D4176" s="42" t="str">
        <f>HYPERLINK("https://rmda.kulib.kyoto-u.ac.jp/item/rb00002938?page=327")</f>
        <v>https://rmda.kulib.kyoto-u.ac.jp/item/rb00002938?page=327</v>
      </c>
      <c r="E4176" s="22"/>
      <c r="F4176" s="22"/>
      <c r="G4176" s="22"/>
    </row>
    <row r="4177" spans="1:7" x14ac:dyDescent="0.15">
      <c r="A4177" s="41" t="s">
        <v>9307</v>
      </c>
      <c r="B4177" s="25" t="s">
        <v>11642</v>
      </c>
      <c r="C4177" s="19" t="s">
        <v>11643</v>
      </c>
      <c r="D4177" s="42" t="str">
        <f>HYPERLINK("https://rmda.kulib.kyoto-u.ac.jp/item/rb00002938?page=327")</f>
        <v>https://rmda.kulib.kyoto-u.ac.jp/item/rb00002938?page=327</v>
      </c>
      <c r="E4177" s="22"/>
      <c r="F4177" s="22"/>
      <c r="G4177" s="22"/>
    </row>
    <row r="4178" spans="1:7" x14ac:dyDescent="0.15">
      <c r="A4178" s="41" t="s">
        <v>9307</v>
      </c>
      <c r="B4178" s="25" t="s">
        <v>11644</v>
      </c>
      <c r="C4178" s="19" t="s">
        <v>11645</v>
      </c>
      <c r="D4178" s="42" t="str">
        <f>HYPERLINK("https://rmda.kulib.kyoto-u.ac.jp/item/rb00002938?page=327")</f>
        <v>https://rmda.kulib.kyoto-u.ac.jp/item/rb00002938?page=327</v>
      </c>
      <c r="E4178" s="22"/>
      <c r="F4178" s="22"/>
      <c r="G4178" s="22"/>
    </row>
    <row r="4179" spans="1:7" x14ac:dyDescent="0.15">
      <c r="A4179" s="41" t="s">
        <v>9307</v>
      </c>
      <c r="B4179" s="25" t="s">
        <v>11646</v>
      </c>
      <c r="C4179" s="19" t="s">
        <v>11647</v>
      </c>
      <c r="D4179" s="42" t="str">
        <f>HYPERLINK("https://rmda.kulib.kyoto-u.ac.jp/item/rb00002938?page=328")</f>
        <v>https://rmda.kulib.kyoto-u.ac.jp/item/rb00002938?page=328</v>
      </c>
      <c r="E4179" s="22"/>
      <c r="F4179" s="22"/>
      <c r="G4179" s="22"/>
    </row>
    <row r="4180" spans="1:7" x14ac:dyDescent="0.15">
      <c r="A4180" s="41" t="s">
        <v>9307</v>
      </c>
      <c r="B4180" s="25" t="s">
        <v>11648</v>
      </c>
      <c r="C4180" s="19" t="s">
        <v>11649</v>
      </c>
      <c r="D4180" s="42" t="str">
        <f>HYPERLINK("https://rmda.kulib.kyoto-u.ac.jp/item/rb00002938?page=328")</f>
        <v>https://rmda.kulib.kyoto-u.ac.jp/item/rb00002938?page=328</v>
      </c>
      <c r="E4180" s="22"/>
      <c r="F4180" s="22"/>
      <c r="G4180" s="22"/>
    </row>
    <row r="4181" spans="1:7" x14ac:dyDescent="0.15">
      <c r="A4181" s="41" t="s">
        <v>9307</v>
      </c>
      <c r="B4181" s="25" t="s">
        <v>11650</v>
      </c>
      <c r="C4181" s="19" t="s">
        <v>11651</v>
      </c>
      <c r="D4181" s="42" t="str">
        <f>HYPERLINK("https://rmda.kulib.kyoto-u.ac.jp/item/rb00002938?page=328")</f>
        <v>https://rmda.kulib.kyoto-u.ac.jp/item/rb00002938?page=328</v>
      </c>
      <c r="E4181" s="22"/>
      <c r="F4181" s="22"/>
      <c r="G4181" s="22"/>
    </row>
    <row r="4182" spans="1:7" x14ac:dyDescent="0.15">
      <c r="A4182" s="41" t="s">
        <v>9307</v>
      </c>
      <c r="B4182" s="25" t="s">
        <v>11652</v>
      </c>
      <c r="C4182" s="19" t="s">
        <v>11653</v>
      </c>
      <c r="D4182" s="42" t="str">
        <f>HYPERLINK("https://rmda.kulib.kyoto-u.ac.jp/item/rb00002938?page=328")</f>
        <v>https://rmda.kulib.kyoto-u.ac.jp/item/rb00002938?page=328</v>
      </c>
      <c r="E4182" s="22"/>
      <c r="F4182" s="22"/>
      <c r="G4182" s="22"/>
    </row>
    <row r="4183" spans="1:7" x14ac:dyDescent="0.15">
      <c r="A4183" s="41" t="s">
        <v>9307</v>
      </c>
      <c r="B4183" s="25" t="s">
        <v>11654</v>
      </c>
      <c r="C4183" s="19" t="s">
        <v>11655</v>
      </c>
      <c r="D4183" s="42" t="str">
        <f>HYPERLINK("https://rmda.kulib.kyoto-u.ac.jp/item/rb00002938?page=328")</f>
        <v>https://rmda.kulib.kyoto-u.ac.jp/item/rb00002938?page=328</v>
      </c>
      <c r="E4183" s="22"/>
      <c r="F4183" s="22"/>
      <c r="G4183" s="22"/>
    </row>
    <row r="4184" spans="1:7" ht="27" x14ac:dyDescent="0.15">
      <c r="A4184" s="41" t="s">
        <v>9307</v>
      </c>
      <c r="B4184" s="25" t="s">
        <v>11656</v>
      </c>
      <c r="C4184" s="19" t="s">
        <v>11657</v>
      </c>
      <c r="D4184" s="42" t="str">
        <f>HYPERLINK("https://rmda.kulib.kyoto-u.ac.jp/item/rb00002938?page=329")</f>
        <v>https://rmda.kulib.kyoto-u.ac.jp/item/rb00002938?page=329</v>
      </c>
      <c r="E4184" s="22"/>
      <c r="F4184" s="22"/>
      <c r="G4184" s="22"/>
    </row>
    <row r="4185" spans="1:7" x14ac:dyDescent="0.15">
      <c r="A4185" s="41" t="s">
        <v>9307</v>
      </c>
      <c r="B4185" s="25" t="s">
        <v>11658</v>
      </c>
      <c r="C4185" s="19" t="s">
        <v>11659</v>
      </c>
      <c r="D4185" s="42" t="str">
        <f>HYPERLINK("https://rmda.kulib.kyoto-u.ac.jp/item/rb00002938?page=329")</f>
        <v>https://rmda.kulib.kyoto-u.ac.jp/item/rb00002938?page=329</v>
      </c>
      <c r="E4185" s="22"/>
      <c r="F4185" s="22"/>
      <c r="G4185" s="22"/>
    </row>
    <row r="4186" spans="1:7" ht="27" x14ac:dyDescent="0.15">
      <c r="A4186" s="41" t="s">
        <v>9307</v>
      </c>
      <c r="B4186" s="25" t="s">
        <v>11660</v>
      </c>
      <c r="C4186" s="19" t="s">
        <v>11661</v>
      </c>
      <c r="D4186" s="42" t="str">
        <f>HYPERLINK("https://rmda.kulib.kyoto-u.ac.jp/item/rb00002938?page=329")</f>
        <v>https://rmda.kulib.kyoto-u.ac.jp/item/rb00002938?page=329</v>
      </c>
      <c r="E4186" s="22"/>
      <c r="F4186" s="22"/>
      <c r="G4186" s="22"/>
    </row>
    <row r="4187" spans="1:7" x14ac:dyDescent="0.15">
      <c r="A4187" s="41" t="s">
        <v>9307</v>
      </c>
      <c r="B4187" s="25" t="s">
        <v>11662</v>
      </c>
      <c r="C4187" s="19" t="s">
        <v>11663</v>
      </c>
      <c r="D4187" s="42" t="str">
        <f>HYPERLINK("https://rmda.kulib.kyoto-u.ac.jp/item/rb00002938?page=329")</f>
        <v>https://rmda.kulib.kyoto-u.ac.jp/item/rb00002938?page=329</v>
      </c>
      <c r="E4187" s="22"/>
      <c r="F4187" s="22"/>
      <c r="G4187" s="22"/>
    </row>
    <row r="4188" spans="1:7" x14ac:dyDescent="0.15">
      <c r="A4188" s="41" t="s">
        <v>9307</v>
      </c>
      <c r="B4188" s="25" t="s">
        <v>11664</v>
      </c>
      <c r="C4188" s="19" t="s">
        <v>11665</v>
      </c>
      <c r="D4188" s="42" t="str">
        <f>HYPERLINK("https://rmda.kulib.kyoto-u.ac.jp/item/rb00002938?page=329")</f>
        <v>https://rmda.kulib.kyoto-u.ac.jp/item/rb00002938?page=329</v>
      </c>
      <c r="E4188" s="22"/>
      <c r="F4188" s="22"/>
      <c r="G4188" s="22"/>
    </row>
    <row r="4189" spans="1:7" x14ac:dyDescent="0.15">
      <c r="A4189" s="41" t="s">
        <v>9307</v>
      </c>
      <c r="B4189" s="25" t="s">
        <v>11666</v>
      </c>
      <c r="C4189" s="19" t="s">
        <v>11667</v>
      </c>
      <c r="D4189" s="42" t="str">
        <f t="shared" ref="D4189:D4197" si="304">HYPERLINK("https://rmda.kulib.kyoto-u.ac.jp/item/rb00002938?page=330")</f>
        <v>https://rmda.kulib.kyoto-u.ac.jp/item/rb00002938?page=330</v>
      </c>
      <c r="E4189" s="22"/>
      <c r="F4189" s="22"/>
      <c r="G4189" s="22"/>
    </row>
    <row r="4190" spans="1:7" x14ac:dyDescent="0.15">
      <c r="A4190" s="41" t="s">
        <v>9307</v>
      </c>
      <c r="B4190" s="25" t="s">
        <v>11668</v>
      </c>
      <c r="C4190" s="19" t="s">
        <v>11669</v>
      </c>
      <c r="D4190" s="42" t="str">
        <f t="shared" si="304"/>
        <v>https://rmda.kulib.kyoto-u.ac.jp/item/rb00002938?page=330</v>
      </c>
      <c r="E4190" s="22"/>
      <c r="F4190" s="22"/>
      <c r="G4190" s="22"/>
    </row>
    <row r="4191" spans="1:7" x14ac:dyDescent="0.15">
      <c r="A4191" s="41" t="s">
        <v>9307</v>
      </c>
      <c r="B4191" s="25" t="s">
        <v>11670</v>
      </c>
      <c r="C4191" s="19" t="s">
        <v>11671</v>
      </c>
      <c r="D4191" s="42" t="str">
        <f t="shared" si="304"/>
        <v>https://rmda.kulib.kyoto-u.ac.jp/item/rb00002938?page=330</v>
      </c>
      <c r="E4191" s="22"/>
      <c r="F4191" s="22"/>
      <c r="G4191" s="22"/>
    </row>
    <row r="4192" spans="1:7" x14ac:dyDescent="0.15">
      <c r="A4192" s="41" t="s">
        <v>9307</v>
      </c>
      <c r="B4192" s="25" t="s">
        <v>11672</v>
      </c>
      <c r="C4192" s="19" t="s">
        <v>11673</v>
      </c>
      <c r="D4192" s="42" t="str">
        <f t="shared" si="304"/>
        <v>https://rmda.kulib.kyoto-u.ac.jp/item/rb00002938?page=330</v>
      </c>
      <c r="E4192" s="22"/>
      <c r="F4192" s="22"/>
      <c r="G4192" s="22"/>
    </row>
    <row r="4193" spans="1:7" x14ac:dyDescent="0.15">
      <c r="A4193" s="41" t="s">
        <v>9307</v>
      </c>
      <c r="B4193" s="25" t="s">
        <v>11674</v>
      </c>
      <c r="C4193" s="19" t="s">
        <v>11675</v>
      </c>
      <c r="D4193" s="42" t="str">
        <f t="shared" si="304"/>
        <v>https://rmda.kulib.kyoto-u.ac.jp/item/rb00002938?page=330</v>
      </c>
      <c r="E4193" s="22"/>
      <c r="F4193" s="22"/>
      <c r="G4193" s="22"/>
    </row>
    <row r="4194" spans="1:7" x14ac:dyDescent="0.15">
      <c r="A4194" s="41" t="s">
        <v>9307</v>
      </c>
      <c r="B4194" s="25" t="s">
        <v>11676</v>
      </c>
      <c r="C4194" s="19" t="s">
        <v>11677</v>
      </c>
      <c r="D4194" s="42" t="str">
        <f t="shared" si="304"/>
        <v>https://rmda.kulib.kyoto-u.ac.jp/item/rb00002938?page=330</v>
      </c>
      <c r="E4194" s="22"/>
      <c r="F4194" s="22"/>
      <c r="G4194" s="22"/>
    </row>
    <row r="4195" spans="1:7" x14ac:dyDescent="0.15">
      <c r="A4195" s="41" t="s">
        <v>9307</v>
      </c>
      <c r="B4195" s="25" t="s">
        <v>11678</v>
      </c>
      <c r="C4195" s="19" t="s">
        <v>11679</v>
      </c>
      <c r="D4195" s="42" t="str">
        <f t="shared" si="304"/>
        <v>https://rmda.kulib.kyoto-u.ac.jp/item/rb00002938?page=330</v>
      </c>
      <c r="E4195" s="22"/>
      <c r="F4195" s="22"/>
      <c r="G4195" s="22"/>
    </row>
    <row r="4196" spans="1:7" x14ac:dyDescent="0.15">
      <c r="A4196" s="41" t="s">
        <v>9307</v>
      </c>
      <c r="B4196" s="25" t="s">
        <v>11680</v>
      </c>
      <c r="C4196" s="19" t="s">
        <v>11681</v>
      </c>
      <c r="D4196" s="42" t="str">
        <f t="shared" si="304"/>
        <v>https://rmda.kulib.kyoto-u.ac.jp/item/rb00002938?page=330</v>
      </c>
      <c r="E4196" s="22"/>
      <c r="F4196" s="22"/>
      <c r="G4196" s="22"/>
    </row>
    <row r="4197" spans="1:7" x14ac:dyDescent="0.15">
      <c r="A4197" s="41" t="s">
        <v>9307</v>
      </c>
      <c r="B4197" s="25" t="s">
        <v>11682</v>
      </c>
      <c r="C4197" s="19" t="s">
        <v>11683</v>
      </c>
      <c r="D4197" s="42" t="str">
        <f t="shared" si="304"/>
        <v>https://rmda.kulib.kyoto-u.ac.jp/item/rb00002938?page=330</v>
      </c>
      <c r="E4197" s="22"/>
      <c r="F4197" s="22"/>
      <c r="G4197" s="22"/>
    </row>
    <row r="4198" spans="1:7" x14ac:dyDescent="0.15">
      <c r="A4198" s="41" t="s">
        <v>9307</v>
      </c>
      <c r="B4198" s="25" t="s">
        <v>11684</v>
      </c>
      <c r="C4198" s="19" t="s">
        <v>11685</v>
      </c>
      <c r="D4198" s="42" t="str">
        <f t="shared" ref="D4198:D4203" si="305">HYPERLINK("https://rmda.kulib.kyoto-u.ac.jp/item/rb00002938?page=331")</f>
        <v>https://rmda.kulib.kyoto-u.ac.jp/item/rb00002938?page=331</v>
      </c>
      <c r="E4198" s="22"/>
      <c r="F4198" s="22"/>
      <c r="G4198" s="22"/>
    </row>
    <row r="4199" spans="1:7" x14ac:dyDescent="0.15">
      <c r="A4199" s="41" t="s">
        <v>9307</v>
      </c>
      <c r="B4199" s="25" t="s">
        <v>11686</v>
      </c>
      <c r="C4199" s="19" t="s">
        <v>11687</v>
      </c>
      <c r="D4199" s="42" t="str">
        <f t="shared" si="305"/>
        <v>https://rmda.kulib.kyoto-u.ac.jp/item/rb00002938?page=331</v>
      </c>
      <c r="E4199" s="22"/>
      <c r="F4199" s="22"/>
      <c r="G4199" s="22"/>
    </row>
    <row r="4200" spans="1:7" x14ac:dyDescent="0.15">
      <c r="A4200" s="41" t="s">
        <v>9307</v>
      </c>
      <c r="B4200" s="25" t="s">
        <v>11688</v>
      </c>
      <c r="C4200" s="19" t="s">
        <v>11689</v>
      </c>
      <c r="D4200" s="42" t="str">
        <f t="shared" si="305"/>
        <v>https://rmda.kulib.kyoto-u.ac.jp/item/rb00002938?page=331</v>
      </c>
      <c r="E4200" s="22"/>
      <c r="F4200" s="22"/>
      <c r="G4200" s="22"/>
    </row>
    <row r="4201" spans="1:7" x14ac:dyDescent="0.15">
      <c r="A4201" s="41" t="s">
        <v>9307</v>
      </c>
      <c r="B4201" s="25" t="s">
        <v>11690</v>
      </c>
      <c r="C4201" s="19" t="s">
        <v>11691</v>
      </c>
      <c r="D4201" s="42" t="str">
        <f t="shared" si="305"/>
        <v>https://rmda.kulib.kyoto-u.ac.jp/item/rb00002938?page=331</v>
      </c>
      <c r="E4201" s="22"/>
      <c r="F4201" s="22"/>
      <c r="G4201" s="22"/>
    </row>
    <row r="4202" spans="1:7" x14ac:dyDescent="0.15">
      <c r="A4202" s="41" t="s">
        <v>9307</v>
      </c>
      <c r="B4202" s="25" t="s">
        <v>11692</v>
      </c>
      <c r="C4202" s="19" t="s">
        <v>11693</v>
      </c>
      <c r="D4202" s="42" t="str">
        <f t="shared" si="305"/>
        <v>https://rmda.kulib.kyoto-u.ac.jp/item/rb00002938?page=331</v>
      </c>
      <c r="E4202" s="22"/>
      <c r="F4202" s="22"/>
      <c r="G4202" s="22"/>
    </row>
    <row r="4203" spans="1:7" x14ac:dyDescent="0.15">
      <c r="A4203" s="41" t="s">
        <v>9307</v>
      </c>
      <c r="B4203" s="25" t="s">
        <v>11694</v>
      </c>
      <c r="C4203" s="19" t="s">
        <v>11695</v>
      </c>
      <c r="D4203" s="42" t="str">
        <f t="shared" si="305"/>
        <v>https://rmda.kulib.kyoto-u.ac.jp/item/rb00002938?page=331</v>
      </c>
      <c r="E4203" s="22"/>
      <c r="F4203" s="22"/>
      <c r="G4203" s="22"/>
    </row>
    <row r="4204" spans="1:7" x14ac:dyDescent="0.15">
      <c r="A4204" s="41" t="s">
        <v>9307</v>
      </c>
      <c r="B4204" s="25" t="s">
        <v>11696</v>
      </c>
      <c r="C4204" s="19" t="s">
        <v>11697</v>
      </c>
      <c r="D4204" s="42" t="str">
        <f>HYPERLINK("https://rmda.kulib.kyoto-u.ac.jp/item/rb00002938?page=332")</f>
        <v>https://rmda.kulib.kyoto-u.ac.jp/item/rb00002938?page=332</v>
      </c>
      <c r="E4204" s="22"/>
      <c r="F4204" s="22"/>
      <c r="G4204" s="22"/>
    </row>
    <row r="4205" spans="1:7" x14ac:dyDescent="0.15">
      <c r="A4205" s="41" t="s">
        <v>9307</v>
      </c>
      <c r="B4205" s="25" t="s">
        <v>11698</v>
      </c>
      <c r="C4205" s="19" t="s">
        <v>11699</v>
      </c>
      <c r="D4205" s="42" t="str">
        <f>HYPERLINK("https://rmda.kulib.kyoto-u.ac.jp/item/rb00002938?page=332")</f>
        <v>https://rmda.kulib.kyoto-u.ac.jp/item/rb00002938?page=332</v>
      </c>
      <c r="E4205" s="22"/>
      <c r="F4205" s="22"/>
      <c r="G4205" s="22"/>
    </row>
    <row r="4206" spans="1:7" x14ac:dyDescent="0.15">
      <c r="A4206" s="41" t="s">
        <v>9307</v>
      </c>
      <c r="B4206" s="25" t="s">
        <v>11700</v>
      </c>
      <c r="C4206" s="19" t="s">
        <v>11701</v>
      </c>
      <c r="D4206" s="42" t="str">
        <f>HYPERLINK("https://rmda.kulib.kyoto-u.ac.jp/item/rb00002938?page=332")</f>
        <v>https://rmda.kulib.kyoto-u.ac.jp/item/rb00002938?page=332</v>
      </c>
      <c r="E4206" s="22"/>
      <c r="F4206" s="22"/>
      <c r="G4206" s="22"/>
    </row>
    <row r="4207" spans="1:7" x14ac:dyDescent="0.15">
      <c r="A4207" s="41" t="s">
        <v>9307</v>
      </c>
      <c r="B4207" s="25" t="s">
        <v>11702</v>
      </c>
      <c r="C4207" s="19" t="s">
        <v>11703</v>
      </c>
      <c r="D4207" s="42" t="str">
        <f>HYPERLINK("https://rmda.kulib.kyoto-u.ac.jp/item/rb00002938?page=332")</f>
        <v>https://rmda.kulib.kyoto-u.ac.jp/item/rb00002938?page=332</v>
      </c>
      <c r="E4207" s="22"/>
      <c r="F4207" s="22"/>
      <c r="G4207" s="22"/>
    </row>
    <row r="4208" spans="1:7" x14ac:dyDescent="0.15">
      <c r="A4208" s="41" t="s">
        <v>9307</v>
      </c>
      <c r="B4208" s="25" t="s">
        <v>11704</v>
      </c>
      <c r="C4208" s="19" t="s">
        <v>11705</v>
      </c>
      <c r="D4208" s="42" t="str">
        <f>HYPERLINK("https://rmda.kulib.kyoto-u.ac.jp/item/rb00002938?page=332")</f>
        <v>https://rmda.kulib.kyoto-u.ac.jp/item/rb00002938?page=332</v>
      </c>
      <c r="E4208" s="22"/>
      <c r="F4208" s="22"/>
      <c r="G4208" s="22"/>
    </row>
    <row r="4209" spans="1:7" x14ac:dyDescent="0.15">
      <c r="A4209" s="41" t="s">
        <v>9307</v>
      </c>
      <c r="B4209" s="25" t="s">
        <v>11706</v>
      </c>
      <c r="C4209" s="19" t="s">
        <v>11707</v>
      </c>
      <c r="D4209" s="42" t="str">
        <f>HYPERLINK("https://rmda.kulib.kyoto-u.ac.jp/item/rb00002938?page=333")</f>
        <v>https://rmda.kulib.kyoto-u.ac.jp/item/rb00002938?page=333</v>
      </c>
      <c r="E4209" s="22"/>
      <c r="F4209" s="22"/>
      <c r="G4209" s="22"/>
    </row>
    <row r="4210" spans="1:7" x14ac:dyDescent="0.15">
      <c r="A4210" s="41" t="s">
        <v>9307</v>
      </c>
      <c r="B4210" s="25" t="s">
        <v>11708</v>
      </c>
      <c r="C4210" s="19" t="s">
        <v>11709</v>
      </c>
      <c r="D4210" s="42" t="str">
        <f>HYPERLINK("https://rmda.kulib.kyoto-u.ac.jp/item/rb00002938?page=333")</f>
        <v>https://rmda.kulib.kyoto-u.ac.jp/item/rb00002938?page=333</v>
      </c>
      <c r="E4210" s="22"/>
      <c r="F4210" s="22"/>
      <c r="G4210" s="22"/>
    </row>
    <row r="4211" spans="1:7" x14ac:dyDescent="0.15">
      <c r="A4211" s="41" t="s">
        <v>9307</v>
      </c>
      <c r="B4211" s="25" t="s">
        <v>11710</v>
      </c>
      <c r="C4211" s="19" t="s">
        <v>11711</v>
      </c>
      <c r="D4211" s="42" t="str">
        <f>HYPERLINK("https://rmda.kulib.kyoto-u.ac.jp/item/rb00002938?page=333")</f>
        <v>https://rmda.kulib.kyoto-u.ac.jp/item/rb00002938?page=333</v>
      </c>
      <c r="E4211" s="22"/>
      <c r="F4211" s="22"/>
      <c r="G4211" s="22"/>
    </row>
    <row r="4212" spans="1:7" x14ac:dyDescent="0.15">
      <c r="A4212" s="41" t="s">
        <v>9307</v>
      </c>
      <c r="B4212" s="25" t="s">
        <v>11712</v>
      </c>
      <c r="C4212" s="19" t="s">
        <v>11713</v>
      </c>
      <c r="D4212" s="42" t="str">
        <f>HYPERLINK("https://rmda.kulib.kyoto-u.ac.jp/item/rb00002938?page=334")</f>
        <v>https://rmda.kulib.kyoto-u.ac.jp/item/rb00002938?page=334</v>
      </c>
      <c r="E4212" s="22"/>
      <c r="F4212" s="22"/>
      <c r="G4212" s="22"/>
    </row>
    <row r="4213" spans="1:7" x14ac:dyDescent="0.15">
      <c r="A4213" s="41" t="s">
        <v>9307</v>
      </c>
      <c r="B4213" s="25" t="s">
        <v>9311</v>
      </c>
      <c r="C4213" s="19" t="s">
        <v>11714</v>
      </c>
      <c r="D4213" s="42" t="str">
        <f>HYPERLINK("https://rmda.kulib.kyoto-u.ac.jp/item/rb00002938?page=334")</f>
        <v>https://rmda.kulib.kyoto-u.ac.jp/item/rb00002938?page=334</v>
      </c>
      <c r="E4213" s="22"/>
      <c r="F4213" s="22"/>
      <c r="G4213" s="22"/>
    </row>
    <row r="4214" spans="1:7" x14ac:dyDescent="0.15">
      <c r="A4214" s="41" t="s">
        <v>9307</v>
      </c>
      <c r="B4214" s="25" t="s">
        <v>11715</v>
      </c>
      <c r="C4214" s="19" t="s">
        <v>11716</v>
      </c>
      <c r="D4214" s="42" t="str">
        <f>HYPERLINK("https://rmda.kulib.kyoto-u.ac.jp/item/rb00002938?page=334")</f>
        <v>https://rmda.kulib.kyoto-u.ac.jp/item/rb00002938?page=334</v>
      </c>
      <c r="E4214" s="22"/>
      <c r="F4214" s="22"/>
      <c r="G4214" s="22"/>
    </row>
    <row r="4215" spans="1:7" x14ac:dyDescent="0.15">
      <c r="A4215" s="41" t="s">
        <v>9307</v>
      </c>
      <c r="B4215" s="25" t="s">
        <v>11717</v>
      </c>
      <c r="C4215" s="19" t="s">
        <v>11718</v>
      </c>
      <c r="D4215" s="42" t="str">
        <f>HYPERLINK("https://rmda.kulib.kyoto-u.ac.jp/item/rb00002938?page=335")</f>
        <v>https://rmda.kulib.kyoto-u.ac.jp/item/rb00002938?page=335</v>
      </c>
      <c r="E4215" s="22"/>
      <c r="F4215" s="22"/>
      <c r="G4215" s="22"/>
    </row>
    <row r="4216" spans="1:7" x14ac:dyDescent="0.15">
      <c r="A4216" s="41" t="s">
        <v>9307</v>
      </c>
      <c r="B4216" s="25" t="s">
        <v>11719</v>
      </c>
      <c r="C4216" s="19" t="s">
        <v>11720</v>
      </c>
      <c r="D4216" s="42" t="str">
        <f>HYPERLINK("https://rmda.kulib.kyoto-u.ac.jp/item/rb00002938?page=335")</f>
        <v>https://rmda.kulib.kyoto-u.ac.jp/item/rb00002938?page=335</v>
      </c>
      <c r="E4216" s="22"/>
      <c r="F4216" s="22"/>
      <c r="G4216" s="22"/>
    </row>
    <row r="4217" spans="1:7" x14ac:dyDescent="0.15">
      <c r="A4217" s="41" t="s">
        <v>9307</v>
      </c>
      <c r="B4217" s="25" t="s">
        <v>11721</v>
      </c>
      <c r="C4217" s="19" t="s">
        <v>11722</v>
      </c>
      <c r="D4217" s="42" t="str">
        <f>HYPERLINK("https://rmda.kulib.kyoto-u.ac.jp/item/rb00002938?page=335")</f>
        <v>https://rmda.kulib.kyoto-u.ac.jp/item/rb00002938?page=335</v>
      </c>
      <c r="E4217" s="22"/>
      <c r="F4217" s="22"/>
      <c r="G4217" s="22"/>
    </row>
    <row r="4218" spans="1:7" x14ac:dyDescent="0.15">
      <c r="A4218" s="41" t="s">
        <v>9307</v>
      </c>
      <c r="B4218" s="25" t="s">
        <v>11723</v>
      </c>
      <c r="C4218" s="19" t="s">
        <v>11724</v>
      </c>
      <c r="D4218" s="42" t="str">
        <f>HYPERLINK("https://rmda.kulib.kyoto-u.ac.jp/item/rb00002938?page=335")</f>
        <v>https://rmda.kulib.kyoto-u.ac.jp/item/rb00002938?page=335</v>
      </c>
      <c r="E4218" s="22"/>
      <c r="F4218" s="22"/>
      <c r="G4218" s="22"/>
    </row>
    <row r="4219" spans="1:7" x14ac:dyDescent="0.15">
      <c r="A4219" s="41" t="s">
        <v>9307</v>
      </c>
      <c r="B4219" s="25" t="s">
        <v>11725</v>
      </c>
      <c r="C4219" s="19" t="s">
        <v>11726</v>
      </c>
      <c r="D4219" s="42" t="str">
        <f>HYPERLINK("https://rmda.kulib.kyoto-u.ac.jp/item/rb00002938?page=335")</f>
        <v>https://rmda.kulib.kyoto-u.ac.jp/item/rb00002938?page=335</v>
      </c>
      <c r="E4219" s="22"/>
      <c r="F4219" s="22"/>
      <c r="G4219" s="22"/>
    </row>
    <row r="4220" spans="1:7" x14ac:dyDescent="0.15">
      <c r="A4220" s="41" t="s">
        <v>9307</v>
      </c>
      <c r="B4220" s="25" t="s">
        <v>11727</v>
      </c>
      <c r="C4220" s="19" t="s">
        <v>11728</v>
      </c>
      <c r="D4220" s="42" t="str">
        <f t="shared" ref="D4220:D4225" si="306">HYPERLINK("https://rmda.kulib.kyoto-u.ac.jp/item/rb00002938?page=336")</f>
        <v>https://rmda.kulib.kyoto-u.ac.jp/item/rb00002938?page=336</v>
      </c>
      <c r="E4220" s="22"/>
      <c r="F4220" s="22"/>
      <c r="G4220" s="22"/>
    </row>
    <row r="4221" spans="1:7" x14ac:dyDescent="0.15">
      <c r="A4221" s="41" t="s">
        <v>9307</v>
      </c>
      <c r="B4221" s="25" t="s">
        <v>11729</v>
      </c>
      <c r="C4221" s="19" t="s">
        <v>11730</v>
      </c>
      <c r="D4221" s="42" t="str">
        <f t="shared" si="306"/>
        <v>https://rmda.kulib.kyoto-u.ac.jp/item/rb00002938?page=336</v>
      </c>
      <c r="E4221" s="22"/>
      <c r="F4221" s="22"/>
      <c r="G4221" s="22"/>
    </row>
    <row r="4222" spans="1:7" x14ac:dyDescent="0.15">
      <c r="A4222" s="41" t="s">
        <v>9307</v>
      </c>
      <c r="B4222" s="25" t="s">
        <v>11731</v>
      </c>
      <c r="C4222" s="19" t="s">
        <v>11732</v>
      </c>
      <c r="D4222" s="42" t="str">
        <f t="shared" si="306"/>
        <v>https://rmda.kulib.kyoto-u.ac.jp/item/rb00002938?page=336</v>
      </c>
      <c r="E4222" s="22"/>
      <c r="F4222" s="22"/>
      <c r="G4222" s="22"/>
    </row>
    <row r="4223" spans="1:7" x14ac:dyDescent="0.15">
      <c r="A4223" s="41" t="s">
        <v>9307</v>
      </c>
      <c r="B4223" s="25" t="s">
        <v>11733</v>
      </c>
      <c r="C4223" s="19" t="s">
        <v>11734</v>
      </c>
      <c r="D4223" s="42" t="str">
        <f t="shared" si="306"/>
        <v>https://rmda.kulib.kyoto-u.ac.jp/item/rb00002938?page=336</v>
      </c>
      <c r="E4223" s="22"/>
      <c r="F4223" s="22"/>
      <c r="G4223" s="22"/>
    </row>
    <row r="4224" spans="1:7" x14ac:dyDescent="0.15">
      <c r="A4224" s="41" t="s">
        <v>9307</v>
      </c>
      <c r="B4224" s="25" t="s">
        <v>10297</v>
      </c>
      <c r="C4224" s="19" t="s">
        <v>11735</v>
      </c>
      <c r="D4224" s="42" t="str">
        <f t="shared" si="306"/>
        <v>https://rmda.kulib.kyoto-u.ac.jp/item/rb00002938?page=336</v>
      </c>
      <c r="E4224" s="22"/>
      <c r="F4224" s="22"/>
      <c r="G4224" s="22"/>
    </row>
    <row r="4225" spans="1:7" x14ac:dyDescent="0.15">
      <c r="A4225" s="41" t="s">
        <v>9307</v>
      </c>
      <c r="B4225" s="25" t="s">
        <v>10314</v>
      </c>
      <c r="C4225" s="19" t="s">
        <v>11736</v>
      </c>
      <c r="D4225" s="42" t="str">
        <f t="shared" si="306"/>
        <v>https://rmda.kulib.kyoto-u.ac.jp/item/rb00002938?page=336</v>
      </c>
      <c r="E4225" s="22"/>
      <c r="F4225" s="22"/>
      <c r="G4225" s="22"/>
    </row>
    <row r="4226" spans="1:7" x14ac:dyDescent="0.15">
      <c r="A4226" s="41" t="s">
        <v>9307</v>
      </c>
      <c r="B4226" s="25" t="s">
        <v>11737</v>
      </c>
      <c r="C4226" s="19" t="s">
        <v>11738</v>
      </c>
      <c r="D4226" s="42" t="str">
        <f>HYPERLINK("https://rmda.kulib.kyoto-u.ac.jp/item/rb00002938?page=337")</f>
        <v>https://rmda.kulib.kyoto-u.ac.jp/item/rb00002938?page=337</v>
      </c>
      <c r="E4226" s="22"/>
      <c r="F4226" s="22"/>
      <c r="G4226" s="22"/>
    </row>
    <row r="4227" spans="1:7" x14ac:dyDescent="0.15">
      <c r="A4227" s="41" t="s">
        <v>9307</v>
      </c>
      <c r="B4227" s="25" t="s">
        <v>11739</v>
      </c>
      <c r="C4227" s="19" t="s">
        <v>11740</v>
      </c>
      <c r="D4227" s="42" t="str">
        <f>HYPERLINK("https://rmda.kulib.kyoto-u.ac.jp/item/rb00002938?page=337")</f>
        <v>https://rmda.kulib.kyoto-u.ac.jp/item/rb00002938?page=337</v>
      </c>
      <c r="E4227" s="22"/>
      <c r="F4227" s="22"/>
      <c r="G4227" s="22"/>
    </row>
    <row r="4228" spans="1:7" x14ac:dyDescent="0.15">
      <c r="A4228" s="41" t="s">
        <v>9307</v>
      </c>
      <c r="B4228" s="25" t="s">
        <v>11741</v>
      </c>
      <c r="C4228" s="19" t="s">
        <v>11742</v>
      </c>
      <c r="D4228" s="42" t="str">
        <f>HYPERLINK("https://rmda.kulib.kyoto-u.ac.jp/item/rb00002938?page=337")</f>
        <v>https://rmda.kulib.kyoto-u.ac.jp/item/rb00002938?page=337</v>
      </c>
      <c r="E4228" s="22"/>
      <c r="F4228" s="22"/>
      <c r="G4228" s="22"/>
    </row>
    <row r="4229" spans="1:7" x14ac:dyDescent="0.15">
      <c r="A4229" s="41" t="s">
        <v>9307</v>
      </c>
      <c r="B4229" s="25" t="s">
        <v>11743</v>
      </c>
      <c r="C4229" s="19" t="s">
        <v>11744</v>
      </c>
      <c r="D4229" s="42" t="str">
        <f>HYPERLINK("https://rmda.kulib.kyoto-u.ac.jp/item/rb00002938?page=337")</f>
        <v>https://rmda.kulib.kyoto-u.ac.jp/item/rb00002938?page=337</v>
      </c>
      <c r="E4229" s="22"/>
      <c r="F4229" s="22"/>
      <c r="G4229" s="22"/>
    </row>
    <row r="4230" spans="1:7" x14ac:dyDescent="0.15">
      <c r="A4230" s="41" t="s">
        <v>9307</v>
      </c>
      <c r="B4230" s="25" t="s">
        <v>11745</v>
      </c>
      <c r="C4230" s="19" t="s">
        <v>11746</v>
      </c>
      <c r="D4230" s="42" t="str">
        <f>HYPERLINK("https://rmda.kulib.kyoto-u.ac.jp/item/rb00002938?page=338")</f>
        <v>https://rmda.kulib.kyoto-u.ac.jp/item/rb00002938?page=338</v>
      </c>
      <c r="E4230" s="22"/>
      <c r="F4230" s="22"/>
      <c r="G4230" s="22"/>
    </row>
    <row r="4231" spans="1:7" x14ac:dyDescent="0.15">
      <c r="A4231" s="41" t="s">
        <v>9307</v>
      </c>
      <c r="B4231" s="25" t="s">
        <v>11747</v>
      </c>
      <c r="C4231" s="19" t="s">
        <v>11748</v>
      </c>
      <c r="D4231" s="42" t="str">
        <f>HYPERLINK("https://rmda.kulib.kyoto-u.ac.jp/item/rb00002938?page=338")</f>
        <v>https://rmda.kulib.kyoto-u.ac.jp/item/rb00002938?page=338</v>
      </c>
      <c r="E4231" s="22"/>
      <c r="F4231" s="22"/>
      <c r="G4231" s="22"/>
    </row>
    <row r="4232" spans="1:7" x14ac:dyDescent="0.15">
      <c r="A4232" s="41" t="s">
        <v>9307</v>
      </c>
      <c r="B4232" s="25" t="s">
        <v>11749</v>
      </c>
      <c r="C4232" s="19" t="s">
        <v>11750</v>
      </c>
      <c r="D4232" s="42" t="str">
        <f>HYPERLINK("https://rmda.kulib.kyoto-u.ac.jp/item/rb00002938?page=338")</f>
        <v>https://rmda.kulib.kyoto-u.ac.jp/item/rb00002938?page=338</v>
      </c>
      <c r="E4232" s="22"/>
      <c r="F4232" s="22"/>
      <c r="G4232" s="22"/>
    </row>
    <row r="4233" spans="1:7" x14ac:dyDescent="0.15">
      <c r="A4233" s="41" t="s">
        <v>9307</v>
      </c>
      <c r="B4233" s="25" t="s">
        <v>11751</v>
      </c>
      <c r="C4233" s="19" t="s">
        <v>11752</v>
      </c>
      <c r="D4233" s="42" t="str">
        <f>HYPERLINK("https://rmda.kulib.kyoto-u.ac.jp/item/rb00002938?page=339")</f>
        <v>https://rmda.kulib.kyoto-u.ac.jp/item/rb00002938?page=339</v>
      </c>
      <c r="E4233" s="22"/>
      <c r="F4233" s="22"/>
      <c r="G4233" s="22"/>
    </row>
    <row r="4234" spans="1:7" x14ac:dyDescent="0.15">
      <c r="A4234" s="41" t="s">
        <v>9307</v>
      </c>
      <c r="B4234" s="25" t="s">
        <v>11753</v>
      </c>
      <c r="C4234" s="19" t="s">
        <v>11754</v>
      </c>
      <c r="D4234" s="42" t="str">
        <f>HYPERLINK("https://rmda.kulib.kyoto-u.ac.jp/item/rb00002938?page=340")</f>
        <v>https://rmda.kulib.kyoto-u.ac.jp/item/rb00002938?page=340</v>
      </c>
      <c r="E4234" s="22"/>
      <c r="F4234" s="22"/>
      <c r="G4234" s="22"/>
    </row>
    <row r="4235" spans="1:7" x14ac:dyDescent="0.15">
      <c r="A4235" s="41" t="s">
        <v>9307</v>
      </c>
      <c r="B4235" s="25" t="s">
        <v>11755</v>
      </c>
      <c r="C4235" s="19" t="s">
        <v>11756</v>
      </c>
      <c r="D4235" s="42" t="str">
        <f>HYPERLINK("https://rmda.kulib.kyoto-u.ac.jp/item/rb00002938?page=340")</f>
        <v>https://rmda.kulib.kyoto-u.ac.jp/item/rb00002938?page=340</v>
      </c>
      <c r="E4235" s="22"/>
      <c r="F4235" s="22"/>
      <c r="G4235" s="22"/>
    </row>
    <row r="4236" spans="1:7" x14ac:dyDescent="0.15">
      <c r="A4236" s="41" t="s">
        <v>9307</v>
      </c>
      <c r="B4236" s="25" t="s">
        <v>11757</v>
      </c>
      <c r="C4236" s="19" t="s">
        <v>11758</v>
      </c>
      <c r="D4236" s="42" t="str">
        <f>HYPERLINK("https://rmda.kulib.kyoto-u.ac.jp/item/rb00002938?page=341")</f>
        <v>https://rmda.kulib.kyoto-u.ac.jp/item/rb00002938?page=341</v>
      </c>
      <c r="E4236" s="22"/>
      <c r="F4236" s="22"/>
      <c r="G4236" s="22"/>
    </row>
    <row r="4237" spans="1:7" x14ac:dyDescent="0.15">
      <c r="A4237" s="41" t="s">
        <v>9307</v>
      </c>
      <c r="B4237" s="25" t="s">
        <v>11759</v>
      </c>
      <c r="C4237" s="19" t="s">
        <v>11760</v>
      </c>
      <c r="D4237" s="42" t="str">
        <f>HYPERLINK("https://rmda.kulib.kyoto-u.ac.jp/item/rb00002938?page=341")</f>
        <v>https://rmda.kulib.kyoto-u.ac.jp/item/rb00002938?page=341</v>
      </c>
      <c r="E4237" s="22"/>
      <c r="F4237" s="22"/>
      <c r="G4237" s="22"/>
    </row>
    <row r="4238" spans="1:7" x14ac:dyDescent="0.15">
      <c r="A4238" s="41" t="s">
        <v>9307</v>
      </c>
      <c r="B4238" s="25" t="s">
        <v>11761</v>
      </c>
      <c r="C4238" s="19" t="s">
        <v>11762</v>
      </c>
      <c r="D4238" s="42" t="str">
        <f>HYPERLINK("https://rmda.kulib.kyoto-u.ac.jp/item/rb00002938?page=341")</f>
        <v>https://rmda.kulib.kyoto-u.ac.jp/item/rb00002938?page=341</v>
      </c>
      <c r="E4238" s="22"/>
      <c r="F4238" s="22"/>
      <c r="G4238" s="22"/>
    </row>
    <row r="4239" spans="1:7" x14ac:dyDescent="0.15">
      <c r="A4239" s="41" t="s">
        <v>9307</v>
      </c>
      <c r="B4239" s="25" t="s">
        <v>11763</v>
      </c>
      <c r="C4239" s="19" t="s">
        <v>11764</v>
      </c>
      <c r="D4239" s="42" t="str">
        <f>HYPERLINK("https://rmda.kulib.kyoto-u.ac.jp/item/rb00002938?page=341")</f>
        <v>https://rmda.kulib.kyoto-u.ac.jp/item/rb00002938?page=341</v>
      </c>
      <c r="E4239" s="22"/>
      <c r="F4239" s="22"/>
      <c r="G4239" s="22"/>
    </row>
    <row r="4240" spans="1:7" x14ac:dyDescent="0.15">
      <c r="A4240" s="41" t="s">
        <v>9307</v>
      </c>
      <c r="B4240" s="25" t="s">
        <v>11765</v>
      </c>
      <c r="C4240" s="19" t="s">
        <v>11766</v>
      </c>
      <c r="D4240" s="42" t="str">
        <f>HYPERLINK("https://rmda.kulib.kyoto-u.ac.jp/item/rb00002938?page=342")</f>
        <v>https://rmda.kulib.kyoto-u.ac.jp/item/rb00002938?page=342</v>
      </c>
      <c r="E4240" s="22"/>
      <c r="F4240" s="22"/>
      <c r="G4240" s="22"/>
    </row>
    <row r="4241" spans="1:7" x14ac:dyDescent="0.15">
      <c r="A4241" s="41" t="s">
        <v>9307</v>
      </c>
      <c r="B4241" s="25" t="s">
        <v>11767</v>
      </c>
      <c r="C4241" s="19" t="s">
        <v>11768</v>
      </c>
      <c r="D4241" s="42" t="str">
        <f>HYPERLINK("https://rmda.kulib.kyoto-u.ac.jp/item/rb00002938?page=342")</f>
        <v>https://rmda.kulib.kyoto-u.ac.jp/item/rb00002938?page=342</v>
      </c>
      <c r="E4241" s="22"/>
      <c r="F4241" s="22"/>
      <c r="G4241" s="22"/>
    </row>
    <row r="4242" spans="1:7" x14ac:dyDescent="0.15">
      <c r="A4242" s="41" t="s">
        <v>9307</v>
      </c>
      <c r="B4242" s="25" t="s">
        <v>11769</v>
      </c>
      <c r="C4242" s="19" t="s">
        <v>11770</v>
      </c>
      <c r="D4242" s="42" t="str">
        <f>HYPERLINK("https://rmda.kulib.kyoto-u.ac.jp/item/rb00002938?page=343")</f>
        <v>https://rmda.kulib.kyoto-u.ac.jp/item/rb00002938?page=343</v>
      </c>
      <c r="E4242" s="22"/>
      <c r="F4242" s="22"/>
      <c r="G4242" s="22"/>
    </row>
    <row r="4243" spans="1:7" x14ac:dyDescent="0.15">
      <c r="A4243" s="41" t="s">
        <v>9307</v>
      </c>
      <c r="B4243" s="25" t="s">
        <v>11771</v>
      </c>
      <c r="C4243" s="19" t="s">
        <v>11772</v>
      </c>
      <c r="D4243" s="42" t="str">
        <f>HYPERLINK("https://rmda.kulib.kyoto-u.ac.jp/item/rb00002938?page=344")</f>
        <v>https://rmda.kulib.kyoto-u.ac.jp/item/rb00002938?page=344</v>
      </c>
      <c r="E4243" s="22"/>
      <c r="F4243" s="22"/>
      <c r="G4243" s="22"/>
    </row>
    <row r="4244" spans="1:7" x14ac:dyDescent="0.15">
      <c r="A4244" s="41" t="s">
        <v>9307</v>
      </c>
      <c r="B4244" s="25" t="s">
        <v>11773</v>
      </c>
      <c r="C4244" s="19" t="s">
        <v>11774</v>
      </c>
      <c r="D4244" s="42" t="str">
        <f>HYPERLINK("https://rmda.kulib.kyoto-u.ac.jp/item/rb00002938?page=344")</f>
        <v>https://rmda.kulib.kyoto-u.ac.jp/item/rb00002938?page=344</v>
      </c>
      <c r="E4244" s="22"/>
      <c r="F4244" s="22"/>
      <c r="G4244" s="22"/>
    </row>
    <row r="4245" spans="1:7" x14ac:dyDescent="0.15">
      <c r="A4245" s="41" t="s">
        <v>9307</v>
      </c>
      <c r="B4245" s="25" t="s">
        <v>11775</v>
      </c>
      <c r="C4245" s="19" t="s">
        <v>11776</v>
      </c>
      <c r="D4245" s="42" t="str">
        <f>HYPERLINK("https://rmda.kulib.kyoto-u.ac.jp/item/rb00002938?page=344")</f>
        <v>https://rmda.kulib.kyoto-u.ac.jp/item/rb00002938?page=344</v>
      </c>
      <c r="E4245" s="22"/>
      <c r="F4245" s="22"/>
      <c r="G4245" s="22"/>
    </row>
    <row r="4246" spans="1:7" x14ac:dyDescent="0.15">
      <c r="A4246" s="41" t="s">
        <v>9307</v>
      </c>
      <c r="B4246" s="25" t="s">
        <v>11777</v>
      </c>
      <c r="C4246" s="19" t="s">
        <v>11778</v>
      </c>
      <c r="D4246" s="42" t="str">
        <f>HYPERLINK("https://rmda.kulib.kyoto-u.ac.jp/item/rb00002938?page=344")</f>
        <v>https://rmda.kulib.kyoto-u.ac.jp/item/rb00002938?page=344</v>
      </c>
      <c r="E4246" s="22"/>
      <c r="F4246" s="22"/>
      <c r="G4246" s="22"/>
    </row>
    <row r="4247" spans="1:7" x14ac:dyDescent="0.15">
      <c r="A4247" s="41" t="s">
        <v>9307</v>
      </c>
      <c r="B4247" s="25" t="s">
        <v>11779</v>
      </c>
      <c r="C4247" s="19" t="s">
        <v>11780</v>
      </c>
      <c r="D4247" s="42" t="str">
        <f>HYPERLINK("https://rmda.kulib.kyoto-u.ac.jp/item/rb00002938?page=345")</f>
        <v>https://rmda.kulib.kyoto-u.ac.jp/item/rb00002938?page=345</v>
      </c>
      <c r="E4247" s="22"/>
      <c r="F4247" s="22"/>
      <c r="G4247" s="22"/>
    </row>
    <row r="4248" spans="1:7" x14ac:dyDescent="0.15">
      <c r="A4248" s="41" t="s">
        <v>9307</v>
      </c>
      <c r="B4248" s="25" t="s">
        <v>11781</v>
      </c>
      <c r="C4248" s="19" t="s">
        <v>11782</v>
      </c>
      <c r="D4248" s="42" t="str">
        <f>HYPERLINK("https://rmda.kulib.kyoto-u.ac.jp/item/rb00002938?page=345")</f>
        <v>https://rmda.kulib.kyoto-u.ac.jp/item/rb00002938?page=345</v>
      </c>
      <c r="E4248" s="22"/>
      <c r="F4248" s="22"/>
      <c r="G4248" s="22"/>
    </row>
    <row r="4249" spans="1:7" x14ac:dyDescent="0.15">
      <c r="A4249" s="41" t="s">
        <v>9307</v>
      </c>
      <c r="B4249" s="25" t="s">
        <v>11783</v>
      </c>
      <c r="C4249" s="19" t="s">
        <v>11784</v>
      </c>
      <c r="D4249" s="42" t="str">
        <f>HYPERLINK("https://rmda.kulib.kyoto-u.ac.jp/item/rb00002938?page=345")</f>
        <v>https://rmda.kulib.kyoto-u.ac.jp/item/rb00002938?page=345</v>
      </c>
      <c r="E4249" s="22"/>
      <c r="F4249" s="22"/>
      <c r="G4249" s="22"/>
    </row>
    <row r="4250" spans="1:7" x14ac:dyDescent="0.15">
      <c r="A4250" s="41" t="s">
        <v>9307</v>
      </c>
      <c r="B4250" s="25" t="s">
        <v>11785</v>
      </c>
      <c r="C4250" s="19" t="s">
        <v>11786</v>
      </c>
      <c r="D4250" s="42" t="str">
        <f>HYPERLINK("https://rmda.kulib.kyoto-u.ac.jp/item/rb00002938?page=345")</f>
        <v>https://rmda.kulib.kyoto-u.ac.jp/item/rb00002938?page=345</v>
      </c>
      <c r="E4250" s="22"/>
      <c r="F4250" s="22"/>
      <c r="G4250" s="22"/>
    </row>
    <row r="4251" spans="1:7" x14ac:dyDescent="0.15">
      <c r="A4251" s="41" t="s">
        <v>9307</v>
      </c>
      <c r="B4251" s="25" t="s">
        <v>11787</v>
      </c>
      <c r="C4251" s="19" t="s">
        <v>11788</v>
      </c>
      <c r="D4251" s="42" t="str">
        <f>HYPERLINK("https://rmda.kulib.kyoto-u.ac.jp/item/rb00002938?page=345")</f>
        <v>https://rmda.kulib.kyoto-u.ac.jp/item/rb00002938?page=345</v>
      </c>
      <c r="E4251" s="22"/>
      <c r="F4251" s="22"/>
      <c r="G4251" s="22"/>
    </row>
    <row r="4252" spans="1:7" x14ac:dyDescent="0.15">
      <c r="A4252" s="41" t="s">
        <v>9307</v>
      </c>
      <c r="B4252" s="25" t="s">
        <v>11789</v>
      </c>
      <c r="C4252" s="19" t="s">
        <v>11790</v>
      </c>
      <c r="D4252" s="42" t="str">
        <f>HYPERLINK("https://rmda.kulib.kyoto-u.ac.jp/item/rb00002938?page=346")</f>
        <v>https://rmda.kulib.kyoto-u.ac.jp/item/rb00002938?page=346</v>
      </c>
      <c r="E4252" s="22"/>
      <c r="F4252" s="22"/>
      <c r="G4252" s="22"/>
    </row>
    <row r="4253" spans="1:7" x14ac:dyDescent="0.15">
      <c r="A4253" s="41" t="s">
        <v>9307</v>
      </c>
      <c r="B4253" s="25" t="s">
        <v>11791</v>
      </c>
      <c r="C4253" s="19" t="s">
        <v>11792</v>
      </c>
      <c r="D4253" s="42" t="str">
        <f>HYPERLINK("https://rmda.kulib.kyoto-u.ac.jp/item/rb00002938?page=346")</f>
        <v>https://rmda.kulib.kyoto-u.ac.jp/item/rb00002938?page=346</v>
      </c>
      <c r="E4253" s="22"/>
      <c r="F4253" s="22"/>
      <c r="G4253" s="22"/>
    </row>
    <row r="4254" spans="1:7" x14ac:dyDescent="0.15">
      <c r="A4254" s="41" t="s">
        <v>9307</v>
      </c>
      <c r="B4254" s="25" t="s">
        <v>10424</v>
      </c>
      <c r="C4254" s="19" t="s">
        <v>11793</v>
      </c>
      <c r="D4254" s="42" t="str">
        <f>HYPERLINK("https://rmda.kulib.kyoto-u.ac.jp/item/rb00002938?page=346")</f>
        <v>https://rmda.kulib.kyoto-u.ac.jp/item/rb00002938?page=346</v>
      </c>
      <c r="E4254" s="22"/>
      <c r="F4254" s="22"/>
      <c r="G4254" s="22"/>
    </row>
    <row r="4255" spans="1:7" x14ac:dyDescent="0.15">
      <c r="A4255" s="41" t="s">
        <v>9307</v>
      </c>
      <c r="B4255" s="25" t="s">
        <v>11794</v>
      </c>
      <c r="C4255" s="19" t="s">
        <v>11795</v>
      </c>
      <c r="D4255" s="42" t="str">
        <f>HYPERLINK("https://rmda.kulib.kyoto-u.ac.jp/item/rb00002938?page=346")</f>
        <v>https://rmda.kulib.kyoto-u.ac.jp/item/rb00002938?page=346</v>
      </c>
      <c r="E4255" s="22"/>
      <c r="F4255" s="22"/>
      <c r="G4255" s="22"/>
    </row>
    <row r="4256" spans="1:7" x14ac:dyDescent="0.15">
      <c r="A4256" s="41" t="s">
        <v>9307</v>
      </c>
      <c r="B4256" s="25" t="s">
        <v>10492</v>
      </c>
      <c r="C4256" s="19" t="s">
        <v>11796</v>
      </c>
      <c r="D4256" s="42" t="str">
        <f>HYPERLINK("https://rmda.kulib.kyoto-u.ac.jp/item/rb00002938?page=346")</f>
        <v>https://rmda.kulib.kyoto-u.ac.jp/item/rb00002938?page=346</v>
      </c>
      <c r="E4256" s="22"/>
      <c r="F4256" s="22"/>
      <c r="G4256" s="22"/>
    </row>
    <row r="4257" spans="1:7" x14ac:dyDescent="0.15">
      <c r="A4257" s="41" t="s">
        <v>9307</v>
      </c>
      <c r="B4257" s="25" t="s">
        <v>11797</v>
      </c>
      <c r="C4257" s="19" t="s">
        <v>11798</v>
      </c>
      <c r="D4257" s="42" t="str">
        <f>HYPERLINK("https://rmda.kulib.kyoto-u.ac.jp/item/rb00002938?page=347")</f>
        <v>https://rmda.kulib.kyoto-u.ac.jp/item/rb00002938?page=347</v>
      </c>
      <c r="E4257" s="22"/>
      <c r="F4257" s="22"/>
      <c r="G4257" s="22"/>
    </row>
    <row r="4258" spans="1:7" x14ac:dyDescent="0.15">
      <c r="A4258" s="41" t="s">
        <v>9307</v>
      </c>
      <c r="B4258" s="25" t="s">
        <v>11799</v>
      </c>
      <c r="C4258" s="19" t="s">
        <v>11800</v>
      </c>
      <c r="D4258" s="42" t="str">
        <f>HYPERLINK("https://rmda.kulib.kyoto-u.ac.jp/item/rb00002938?page=347")</f>
        <v>https://rmda.kulib.kyoto-u.ac.jp/item/rb00002938?page=347</v>
      </c>
      <c r="E4258" s="22"/>
      <c r="F4258" s="22"/>
      <c r="G4258" s="22"/>
    </row>
    <row r="4259" spans="1:7" x14ac:dyDescent="0.15">
      <c r="A4259" s="41" t="s">
        <v>9307</v>
      </c>
      <c r="B4259" s="25" t="s">
        <v>11801</v>
      </c>
      <c r="C4259" s="19" t="s">
        <v>11802</v>
      </c>
      <c r="D4259" s="42" t="str">
        <f>HYPERLINK("https://rmda.kulib.kyoto-u.ac.jp/item/rb00002938?page=350")</f>
        <v>https://rmda.kulib.kyoto-u.ac.jp/item/rb00002938?page=350</v>
      </c>
      <c r="E4259" s="22"/>
      <c r="F4259" s="22"/>
      <c r="G4259" s="22"/>
    </row>
    <row r="4260" spans="1:7" x14ac:dyDescent="0.15">
      <c r="A4260" s="41" t="s">
        <v>9307</v>
      </c>
      <c r="B4260" s="25" t="s">
        <v>11803</v>
      </c>
      <c r="C4260" s="19" t="s">
        <v>11804</v>
      </c>
      <c r="D4260" s="42" t="str">
        <f>HYPERLINK("https://rmda.kulib.kyoto-u.ac.jp/item/rb00002938?page=351")</f>
        <v>https://rmda.kulib.kyoto-u.ac.jp/item/rb00002938?page=351</v>
      </c>
      <c r="E4260" s="22"/>
      <c r="F4260" s="22"/>
      <c r="G4260" s="22"/>
    </row>
    <row r="4261" spans="1:7" x14ac:dyDescent="0.15">
      <c r="A4261" s="41" t="s">
        <v>9307</v>
      </c>
      <c r="B4261" s="25" t="s">
        <v>11805</v>
      </c>
      <c r="C4261" s="19" t="s">
        <v>11806</v>
      </c>
      <c r="D4261" s="42" t="str">
        <f>HYPERLINK("https://rmda.kulib.kyoto-u.ac.jp/item/rb00002938?page=352")</f>
        <v>https://rmda.kulib.kyoto-u.ac.jp/item/rb00002938?page=352</v>
      </c>
      <c r="E4261" s="22"/>
      <c r="F4261" s="22"/>
      <c r="G4261" s="22"/>
    </row>
    <row r="4262" spans="1:7" x14ac:dyDescent="0.15">
      <c r="A4262" s="41" t="s">
        <v>9307</v>
      </c>
      <c r="B4262" s="25" t="s">
        <v>11807</v>
      </c>
      <c r="C4262" s="19" t="s">
        <v>11808</v>
      </c>
      <c r="D4262" s="42" t="str">
        <f>HYPERLINK("https://rmda.kulib.kyoto-u.ac.jp/item/rb00002938?page=352")</f>
        <v>https://rmda.kulib.kyoto-u.ac.jp/item/rb00002938?page=352</v>
      </c>
      <c r="E4262" s="22"/>
      <c r="F4262" s="22"/>
      <c r="G4262" s="22"/>
    </row>
    <row r="4263" spans="1:7" x14ac:dyDescent="0.15">
      <c r="A4263" s="41" t="s">
        <v>9307</v>
      </c>
      <c r="B4263" s="25" t="s">
        <v>11809</v>
      </c>
      <c r="C4263" s="19" t="s">
        <v>11810</v>
      </c>
      <c r="D4263" s="42" t="str">
        <f t="shared" ref="D4263:D4269" si="307">HYPERLINK("https://rmda.kulib.kyoto-u.ac.jp/item/rb00002938?page=353")</f>
        <v>https://rmda.kulib.kyoto-u.ac.jp/item/rb00002938?page=353</v>
      </c>
      <c r="E4263" s="22"/>
      <c r="F4263" s="22"/>
      <c r="G4263" s="22"/>
    </row>
    <row r="4264" spans="1:7" x14ac:dyDescent="0.15">
      <c r="A4264" s="41" t="s">
        <v>9307</v>
      </c>
      <c r="B4264" s="25" t="s">
        <v>11811</v>
      </c>
      <c r="C4264" s="19" t="s">
        <v>11812</v>
      </c>
      <c r="D4264" s="42" t="str">
        <f t="shared" si="307"/>
        <v>https://rmda.kulib.kyoto-u.ac.jp/item/rb00002938?page=353</v>
      </c>
      <c r="E4264" s="22"/>
      <c r="F4264" s="22"/>
      <c r="G4264" s="22"/>
    </row>
    <row r="4265" spans="1:7" x14ac:dyDescent="0.15">
      <c r="A4265" s="41" t="s">
        <v>9307</v>
      </c>
      <c r="B4265" s="25" t="s">
        <v>11813</v>
      </c>
      <c r="C4265" s="19" t="s">
        <v>11814</v>
      </c>
      <c r="D4265" s="42" t="str">
        <f t="shared" si="307"/>
        <v>https://rmda.kulib.kyoto-u.ac.jp/item/rb00002938?page=353</v>
      </c>
      <c r="E4265" s="22"/>
      <c r="F4265" s="22"/>
      <c r="G4265" s="22"/>
    </row>
    <row r="4266" spans="1:7" x14ac:dyDescent="0.15">
      <c r="A4266" s="41" t="s">
        <v>9307</v>
      </c>
      <c r="B4266" s="25" t="s">
        <v>11815</v>
      </c>
      <c r="C4266" s="19" t="s">
        <v>11816</v>
      </c>
      <c r="D4266" s="42" t="str">
        <f t="shared" si="307"/>
        <v>https://rmda.kulib.kyoto-u.ac.jp/item/rb00002938?page=353</v>
      </c>
      <c r="E4266" s="22"/>
      <c r="F4266" s="22"/>
      <c r="G4266" s="22"/>
    </row>
    <row r="4267" spans="1:7" x14ac:dyDescent="0.15">
      <c r="A4267" s="41" t="s">
        <v>9307</v>
      </c>
      <c r="B4267" s="25" t="s">
        <v>11817</v>
      </c>
      <c r="C4267" s="19" t="s">
        <v>11818</v>
      </c>
      <c r="D4267" s="42" t="str">
        <f t="shared" si="307"/>
        <v>https://rmda.kulib.kyoto-u.ac.jp/item/rb00002938?page=353</v>
      </c>
      <c r="E4267" s="22"/>
      <c r="F4267" s="22"/>
      <c r="G4267" s="22"/>
    </row>
    <row r="4268" spans="1:7" x14ac:dyDescent="0.15">
      <c r="A4268" s="41" t="s">
        <v>9307</v>
      </c>
      <c r="B4268" s="25" t="s">
        <v>11819</v>
      </c>
      <c r="C4268" s="19" t="s">
        <v>11820</v>
      </c>
      <c r="D4268" s="42" t="str">
        <f t="shared" si="307"/>
        <v>https://rmda.kulib.kyoto-u.ac.jp/item/rb00002938?page=353</v>
      </c>
      <c r="E4268" s="22"/>
      <c r="F4268" s="22"/>
      <c r="G4268" s="22"/>
    </row>
    <row r="4269" spans="1:7" x14ac:dyDescent="0.15">
      <c r="A4269" s="41" t="s">
        <v>9307</v>
      </c>
      <c r="B4269" s="25" t="s">
        <v>10121</v>
      </c>
      <c r="C4269" s="19" t="s">
        <v>11821</v>
      </c>
      <c r="D4269" s="42" t="str">
        <f t="shared" si="307"/>
        <v>https://rmda.kulib.kyoto-u.ac.jp/item/rb00002938?page=353</v>
      </c>
      <c r="E4269" s="22"/>
      <c r="F4269" s="22"/>
      <c r="G4269" s="22"/>
    </row>
    <row r="4270" spans="1:7" x14ac:dyDescent="0.15">
      <c r="A4270" s="41" t="s">
        <v>9307</v>
      </c>
      <c r="B4270" s="25" t="s">
        <v>11822</v>
      </c>
      <c r="C4270" s="19" t="s">
        <v>11823</v>
      </c>
      <c r="D4270" s="42" t="str">
        <f t="shared" ref="D4270:D4276" si="308">HYPERLINK("https://rmda.kulib.kyoto-u.ac.jp/item/rb00002938?page=354")</f>
        <v>https://rmda.kulib.kyoto-u.ac.jp/item/rb00002938?page=354</v>
      </c>
      <c r="E4270" s="22"/>
      <c r="F4270" s="22"/>
      <c r="G4270" s="22"/>
    </row>
    <row r="4271" spans="1:7" x14ac:dyDescent="0.15">
      <c r="A4271" s="41" t="s">
        <v>9307</v>
      </c>
      <c r="B4271" s="25" t="s">
        <v>11824</v>
      </c>
      <c r="C4271" s="19" t="s">
        <v>11825</v>
      </c>
      <c r="D4271" s="42" t="str">
        <f t="shared" si="308"/>
        <v>https://rmda.kulib.kyoto-u.ac.jp/item/rb00002938?page=354</v>
      </c>
      <c r="E4271" s="22"/>
      <c r="F4271" s="22"/>
      <c r="G4271" s="22"/>
    </row>
    <row r="4272" spans="1:7" x14ac:dyDescent="0.15">
      <c r="A4272" s="41" t="s">
        <v>9307</v>
      </c>
      <c r="B4272" s="25" t="s">
        <v>11826</v>
      </c>
      <c r="C4272" s="19" t="s">
        <v>11827</v>
      </c>
      <c r="D4272" s="42" t="str">
        <f t="shared" si="308"/>
        <v>https://rmda.kulib.kyoto-u.ac.jp/item/rb00002938?page=354</v>
      </c>
      <c r="E4272" s="22"/>
      <c r="F4272" s="22"/>
      <c r="G4272" s="22"/>
    </row>
    <row r="4273" spans="1:7" x14ac:dyDescent="0.15">
      <c r="A4273" s="41" t="s">
        <v>9307</v>
      </c>
      <c r="B4273" s="25" t="s">
        <v>11828</v>
      </c>
      <c r="C4273" s="19" t="s">
        <v>11829</v>
      </c>
      <c r="D4273" s="42" t="str">
        <f t="shared" si="308"/>
        <v>https://rmda.kulib.kyoto-u.ac.jp/item/rb00002938?page=354</v>
      </c>
      <c r="E4273" s="22"/>
      <c r="F4273" s="22"/>
      <c r="G4273" s="22"/>
    </row>
    <row r="4274" spans="1:7" x14ac:dyDescent="0.15">
      <c r="A4274" s="41" t="s">
        <v>9307</v>
      </c>
      <c r="B4274" s="25" t="s">
        <v>11830</v>
      </c>
      <c r="C4274" s="19" t="s">
        <v>11831</v>
      </c>
      <c r="D4274" s="42" t="str">
        <f t="shared" si="308"/>
        <v>https://rmda.kulib.kyoto-u.ac.jp/item/rb00002938?page=354</v>
      </c>
      <c r="E4274" s="22"/>
      <c r="F4274" s="22"/>
      <c r="G4274" s="22"/>
    </row>
    <row r="4275" spans="1:7" x14ac:dyDescent="0.15">
      <c r="A4275" s="41" t="s">
        <v>9307</v>
      </c>
      <c r="B4275" s="25" t="s">
        <v>11832</v>
      </c>
      <c r="C4275" s="19" t="s">
        <v>11833</v>
      </c>
      <c r="D4275" s="42" t="str">
        <f t="shared" si="308"/>
        <v>https://rmda.kulib.kyoto-u.ac.jp/item/rb00002938?page=354</v>
      </c>
      <c r="E4275" s="22"/>
      <c r="F4275" s="22"/>
      <c r="G4275" s="22"/>
    </row>
    <row r="4276" spans="1:7" x14ac:dyDescent="0.15">
      <c r="A4276" s="41" t="s">
        <v>9307</v>
      </c>
      <c r="B4276" s="25" t="s">
        <v>11834</v>
      </c>
      <c r="C4276" s="19" t="s">
        <v>11835</v>
      </c>
      <c r="D4276" s="42" t="str">
        <f t="shared" si="308"/>
        <v>https://rmda.kulib.kyoto-u.ac.jp/item/rb00002938?page=354</v>
      </c>
      <c r="E4276" s="22"/>
      <c r="F4276" s="22"/>
      <c r="G4276" s="22"/>
    </row>
    <row r="4277" spans="1:7" x14ac:dyDescent="0.15">
      <c r="A4277" s="41" t="s">
        <v>9307</v>
      </c>
      <c r="B4277" s="25" t="s">
        <v>11172</v>
      </c>
      <c r="C4277" s="19" t="s">
        <v>11836</v>
      </c>
      <c r="D4277" s="42" t="str">
        <f t="shared" ref="D4277:D4285" si="309">HYPERLINK("https://rmda.kulib.kyoto-u.ac.jp/item/rb00002938?page=355")</f>
        <v>https://rmda.kulib.kyoto-u.ac.jp/item/rb00002938?page=355</v>
      </c>
      <c r="E4277" s="22"/>
      <c r="F4277" s="22"/>
      <c r="G4277" s="22"/>
    </row>
    <row r="4278" spans="1:7" x14ac:dyDescent="0.15">
      <c r="A4278" s="41" t="s">
        <v>9307</v>
      </c>
      <c r="B4278" s="25" t="s">
        <v>10876</v>
      </c>
      <c r="C4278" s="19" t="s">
        <v>11837</v>
      </c>
      <c r="D4278" s="42" t="str">
        <f t="shared" si="309"/>
        <v>https://rmda.kulib.kyoto-u.ac.jp/item/rb00002938?page=355</v>
      </c>
      <c r="E4278" s="22"/>
      <c r="F4278" s="22"/>
      <c r="G4278" s="22"/>
    </row>
    <row r="4279" spans="1:7" x14ac:dyDescent="0.15">
      <c r="A4279" s="41" t="s">
        <v>9307</v>
      </c>
      <c r="B4279" s="25" t="s">
        <v>11838</v>
      </c>
      <c r="C4279" s="19" t="s">
        <v>11839</v>
      </c>
      <c r="D4279" s="42" t="str">
        <f t="shared" si="309"/>
        <v>https://rmda.kulib.kyoto-u.ac.jp/item/rb00002938?page=355</v>
      </c>
      <c r="E4279" s="22"/>
      <c r="F4279" s="22"/>
      <c r="G4279" s="22"/>
    </row>
    <row r="4280" spans="1:7" x14ac:dyDescent="0.15">
      <c r="A4280" s="41" t="s">
        <v>9307</v>
      </c>
      <c r="B4280" s="25" t="s">
        <v>10892</v>
      </c>
      <c r="C4280" s="19" t="s">
        <v>11840</v>
      </c>
      <c r="D4280" s="42" t="str">
        <f t="shared" si="309"/>
        <v>https://rmda.kulib.kyoto-u.ac.jp/item/rb00002938?page=355</v>
      </c>
      <c r="E4280" s="22"/>
      <c r="F4280" s="22"/>
      <c r="G4280" s="22"/>
    </row>
    <row r="4281" spans="1:7" x14ac:dyDescent="0.15">
      <c r="A4281" s="41" t="s">
        <v>9307</v>
      </c>
      <c r="B4281" s="25" t="s">
        <v>11841</v>
      </c>
      <c r="C4281" s="19" t="s">
        <v>11842</v>
      </c>
      <c r="D4281" s="42" t="str">
        <f t="shared" si="309"/>
        <v>https://rmda.kulib.kyoto-u.ac.jp/item/rb00002938?page=355</v>
      </c>
      <c r="E4281" s="22"/>
      <c r="F4281" s="22"/>
      <c r="G4281" s="22"/>
    </row>
    <row r="4282" spans="1:7" x14ac:dyDescent="0.15">
      <c r="A4282" s="41" t="s">
        <v>9307</v>
      </c>
      <c r="B4282" s="25" t="s">
        <v>11028</v>
      </c>
      <c r="C4282" s="19" t="s">
        <v>11843</v>
      </c>
      <c r="D4282" s="42" t="str">
        <f t="shared" si="309"/>
        <v>https://rmda.kulib.kyoto-u.ac.jp/item/rb00002938?page=355</v>
      </c>
      <c r="E4282" s="22"/>
      <c r="F4282" s="22"/>
      <c r="G4282" s="22"/>
    </row>
    <row r="4283" spans="1:7" x14ac:dyDescent="0.15">
      <c r="A4283" s="41" t="s">
        <v>9307</v>
      </c>
      <c r="B4283" s="25" t="s">
        <v>11844</v>
      </c>
      <c r="C4283" s="19" t="s">
        <v>11845</v>
      </c>
      <c r="D4283" s="42" t="str">
        <f t="shared" si="309"/>
        <v>https://rmda.kulib.kyoto-u.ac.jp/item/rb00002938?page=355</v>
      </c>
      <c r="E4283" s="22"/>
      <c r="F4283" s="22"/>
      <c r="G4283" s="22"/>
    </row>
    <row r="4284" spans="1:7" x14ac:dyDescent="0.15">
      <c r="A4284" s="41" t="s">
        <v>9307</v>
      </c>
      <c r="B4284" s="25" t="s">
        <v>11846</v>
      </c>
      <c r="C4284" s="19" t="s">
        <v>11847</v>
      </c>
      <c r="D4284" s="42" t="str">
        <f t="shared" si="309"/>
        <v>https://rmda.kulib.kyoto-u.ac.jp/item/rb00002938?page=355</v>
      </c>
      <c r="E4284" s="22"/>
      <c r="F4284" s="22"/>
      <c r="G4284" s="22"/>
    </row>
    <row r="4285" spans="1:7" x14ac:dyDescent="0.15">
      <c r="A4285" s="41" t="s">
        <v>9307</v>
      </c>
      <c r="B4285" s="25" t="s">
        <v>11848</v>
      </c>
      <c r="C4285" s="19" t="s">
        <v>11849</v>
      </c>
      <c r="D4285" s="42" t="str">
        <f t="shared" si="309"/>
        <v>https://rmda.kulib.kyoto-u.ac.jp/item/rb00002938?page=355</v>
      </c>
      <c r="E4285" s="22"/>
      <c r="F4285" s="22"/>
      <c r="G4285" s="22"/>
    </row>
    <row r="4286" spans="1:7" x14ac:dyDescent="0.15">
      <c r="A4286" s="41" t="s">
        <v>9307</v>
      </c>
      <c r="B4286" s="25" t="s">
        <v>11006</v>
      </c>
      <c r="C4286" s="19" t="s">
        <v>11850</v>
      </c>
      <c r="D4286" s="42" t="str">
        <f t="shared" ref="D4286:D4292" si="310">HYPERLINK("https://rmda.kulib.kyoto-u.ac.jp/item/rb00002938?page=356")</f>
        <v>https://rmda.kulib.kyoto-u.ac.jp/item/rb00002938?page=356</v>
      </c>
      <c r="E4286" s="22"/>
      <c r="F4286" s="22"/>
      <c r="G4286" s="22"/>
    </row>
    <row r="4287" spans="1:7" x14ac:dyDescent="0.15">
      <c r="A4287" s="41" t="s">
        <v>9307</v>
      </c>
      <c r="B4287" s="25" t="s">
        <v>11851</v>
      </c>
      <c r="C4287" s="19" t="s">
        <v>11852</v>
      </c>
      <c r="D4287" s="42" t="str">
        <f t="shared" si="310"/>
        <v>https://rmda.kulib.kyoto-u.ac.jp/item/rb00002938?page=356</v>
      </c>
      <c r="E4287" s="22"/>
      <c r="F4287" s="22"/>
      <c r="G4287" s="22"/>
    </row>
    <row r="4288" spans="1:7" x14ac:dyDescent="0.15">
      <c r="A4288" s="41" t="s">
        <v>9307</v>
      </c>
      <c r="B4288" s="25" t="s">
        <v>11853</v>
      </c>
      <c r="C4288" s="19" t="s">
        <v>11854</v>
      </c>
      <c r="D4288" s="42" t="str">
        <f t="shared" si="310"/>
        <v>https://rmda.kulib.kyoto-u.ac.jp/item/rb00002938?page=356</v>
      </c>
      <c r="E4288" s="22"/>
      <c r="F4288" s="22"/>
      <c r="G4288" s="22"/>
    </row>
    <row r="4289" spans="1:7" x14ac:dyDescent="0.15">
      <c r="A4289" s="41" t="s">
        <v>9307</v>
      </c>
      <c r="B4289" s="25" t="s">
        <v>11855</v>
      </c>
      <c r="C4289" s="19" t="s">
        <v>11856</v>
      </c>
      <c r="D4289" s="42" t="str">
        <f t="shared" si="310"/>
        <v>https://rmda.kulib.kyoto-u.ac.jp/item/rb00002938?page=356</v>
      </c>
      <c r="E4289" s="22"/>
      <c r="F4289" s="22"/>
      <c r="G4289" s="22"/>
    </row>
    <row r="4290" spans="1:7" x14ac:dyDescent="0.15">
      <c r="A4290" s="41" t="s">
        <v>9307</v>
      </c>
      <c r="B4290" s="25" t="s">
        <v>8166</v>
      </c>
      <c r="C4290" s="19" t="s">
        <v>11857</v>
      </c>
      <c r="D4290" s="42" t="str">
        <f t="shared" si="310"/>
        <v>https://rmda.kulib.kyoto-u.ac.jp/item/rb00002938?page=356</v>
      </c>
      <c r="E4290" s="22"/>
      <c r="F4290" s="22"/>
      <c r="G4290" s="22"/>
    </row>
    <row r="4291" spans="1:7" x14ac:dyDescent="0.15">
      <c r="A4291" s="41" t="s">
        <v>9307</v>
      </c>
      <c r="B4291" s="25" t="s">
        <v>11858</v>
      </c>
      <c r="C4291" s="19" t="s">
        <v>11859</v>
      </c>
      <c r="D4291" s="42" t="str">
        <f t="shared" si="310"/>
        <v>https://rmda.kulib.kyoto-u.ac.jp/item/rb00002938?page=356</v>
      </c>
      <c r="E4291" s="22"/>
      <c r="F4291" s="22"/>
      <c r="G4291" s="22"/>
    </row>
    <row r="4292" spans="1:7" x14ac:dyDescent="0.15">
      <c r="A4292" s="41" t="s">
        <v>9307</v>
      </c>
      <c r="B4292" s="25" t="s">
        <v>11860</v>
      </c>
      <c r="C4292" s="19" t="s">
        <v>11861</v>
      </c>
      <c r="D4292" s="42" t="str">
        <f t="shared" si="310"/>
        <v>https://rmda.kulib.kyoto-u.ac.jp/item/rb00002938?page=356</v>
      </c>
      <c r="E4292" s="22"/>
      <c r="F4292" s="22"/>
      <c r="G4292" s="22"/>
    </row>
    <row r="4293" spans="1:7" x14ac:dyDescent="0.15">
      <c r="A4293" s="41" t="s">
        <v>9307</v>
      </c>
      <c r="B4293" s="25" t="s">
        <v>11862</v>
      </c>
      <c r="C4293" s="19" t="s">
        <v>11863</v>
      </c>
      <c r="D4293" s="42" t="str">
        <f t="shared" ref="D4293:D4298" si="311">HYPERLINK("https://rmda.kulib.kyoto-u.ac.jp/item/rb00002938?page=357")</f>
        <v>https://rmda.kulib.kyoto-u.ac.jp/item/rb00002938?page=357</v>
      </c>
      <c r="E4293" s="22"/>
      <c r="F4293" s="22"/>
      <c r="G4293" s="22"/>
    </row>
    <row r="4294" spans="1:7" x14ac:dyDescent="0.15">
      <c r="A4294" s="41" t="s">
        <v>9307</v>
      </c>
      <c r="B4294" s="25" t="s">
        <v>11864</v>
      </c>
      <c r="C4294" s="19" t="s">
        <v>11865</v>
      </c>
      <c r="D4294" s="42" t="str">
        <f t="shared" si="311"/>
        <v>https://rmda.kulib.kyoto-u.ac.jp/item/rb00002938?page=357</v>
      </c>
      <c r="E4294" s="22"/>
      <c r="F4294" s="22"/>
      <c r="G4294" s="22"/>
    </row>
    <row r="4295" spans="1:7" x14ac:dyDescent="0.15">
      <c r="A4295" s="41" t="s">
        <v>9307</v>
      </c>
      <c r="B4295" s="25" t="s">
        <v>11866</v>
      </c>
      <c r="C4295" s="19" t="s">
        <v>11867</v>
      </c>
      <c r="D4295" s="42" t="str">
        <f t="shared" si="311"/>
        <v>https://rmda.kulib.kyoto-u.ac.jp/item/rb00002938?page=357</v>
      </c>
      <c r="E4295" s="22"/>
      <c r="F4295" s="22"/>
      <c r="G4295" s="22"/>
    </row>
    <row r="4296" spans="1:7" x14ac:dyDescent="0.15">
      <c r="A4296" s="41" t="s">
        <v>9307</v>
      </c>
      <c r="B4296" s="25" t="s">
        <v>11868</v>
      </c>
      <c r="C4296" s="19" t="s">
        <v>11869</v>
      </c>
      <c r="D4296" s="42" t="str">
        <f t="shared" si="311"/>
        <v>https://rmda.kulib.kyoto-u.ac.jp/item/rb00002938?page=357</v>
      </c>
      <c r="E4296" s="22"/>
      <c r="F4296" s="22"/>
      <c r="G4296" s="22"/>
    </row>
    <row r="4297" spans="1:7" x14ac:dyDescent="0.15">
      <c r="A4297" s="41" t="s">
        <v>9307</v>
      </c>
      <c r="B4297" s="25" t="s">
        <v>11870</v>
      </c>
      <c r="C4297" s="19" t="s">
        <v>11871</v>
      </c>
      <c r="D4297" s="42" t="str">
        <f t="shared" si="311"/>
        <v>https://rmda.kulib.kyoto-u.ac.jp/item/rb00002938?page=357</v>
      </c>
      <c r="E4297" s="22"/>
      <c r="F4297" s="22"/>
      <c r="G4297" s="22"/>
    </row>
    <row r="4298" spans="1:7" x14ac:dyDescent="0.15">
      <c r="A4298" s="41" t="s">
        <v>9307</v>
      </c>
      <c r="B4298" s="25" t="s">
        <v>9667</v>
      </c>
      <c r="C4298" s="19" t="s">
        <v>11872</v>
      </c>
      <c r="D4298" s="42" t="str">
        <f t="shared" si="311"/>
        <v>https://rmda.kulib.kyoto-u.ac.jp/item/rb00002938?page=357</v>
      </c>
      <c r="E4298" s="22"/>
      <c r="F4298" s="22"/>
      <c r="G4298" s="22"/>
    </row>
    <row r="4299" spans="1:7" x14ac:dyDescent="0.15">
      <c r="A4299" s="41" t="s">
        <v>9307</v>
      </c>
      <c r="B4299" s="25" t="s">
        <v>9821</v>
      </c>
      <c r="C4299" s="19" t="s">
        <v>11873</v>
      </c>
      <c r="D4299" s="42" t="str">
        <f>HYPERLINK("https://rmda.kulib.kyoto-u.ac.jp/item/rb00002938?page=358")</f>
        <v>https://rmda.kulib.kyoto-u.ac.jp/item/rb00002938?page=358</v>
      </c>
      <c r="E4299" s="22"/>
      <c r="F4299" s="22"/>
      <c r="G4299" s="22"/>
    </row>
    <row r="4300" spans="1:7" x14ac:dyDescent="0.15">
      <c r="A4300" s="41" t="s">
        <v>9307</v>
      </c>
      <c r="B4300" s="25" t="s">
        <v>11874</v>
      </c>
      <c r="C4300" s="19" t="s">
        <v>11875</v>
      </c>
      <c r="D4300" s="42" t="str">
        <f>HYPERLINK("https://rmda.kulib.kyoto-u.ac.jp/item/rb00002938?page=358")</f>
        <v>https://rmda.kulib.kyoto-u.ac.jp/item/rb00002938?page=358</v>
      </c>
      <c r="E4300" s="22"/>
      <c r="F4300" s="22"/>
      <c r="G4300" s="22"/>
    </row>
    <row r="4301" spans="1:7" x14ac:dyDescent="0.15">
      <c r="A4301" s="41" t="s">
        <v>9307</v>
      </c>
      <c r="B4301" s="25" t="s">
        <v>10638</v>
      </c>
      <c r="C4301" s="19" t="s">
        <v>11876</v>
      </c>
      <c r="D4301" s="42" t="str">
        <f>HYPERLINK("https://rmda.kulib.kyoto-u.ac.jp/item/rb00002938?page=359")</f>
        <v>https://rmda.kulib.kyoto-u.ac.jp/item/rb00002938?page=359</v>
      </c>
      <c r="E4301" s="22"/>
      <c r="F4301" s="22"/>
      <c r="G4301" s="22"/>
    </row>
    <row r="4302" spans="1:7" x14ac:dyDescent="0.15">
      <c r="A4302" s="41" t="s">
        <v>9307</v>
      </c>
      <c r="B4302" s="25" t="s">
        <v>10580</v>
      </c>
      <c r="C4302" s="19" t="s">
        <v>11877</v>
      </c>
      <c r="D4302" s="42" t="str">
        <f>HYPERLINK("https://rmda.kulib.kyoto-u.ac.jp/item/rb00002938?page=359")</f>
        <v>https://rmda.kulib.kyoto-u.ac.jp/item/rb00002938?page=359</v>
      </c>
      <c r="E4302" s="22"/>
      <c r="F4302" s="22"/>
      <c r="G4302" s="22"/>
    </row>
    <row r="4303" spans="1:7" x14ac:dyDescent="0.15">
      <c r="A4303" s="41" t="s">
        <v>9307</v>
      </c>
      <c r="B4303" s="25" t="s">
        <v>11878</v>
      </c>
      <c r="C4303" s="19" t="s">
        <v>11879</v>
      </c>
      <c r="D4303" s="42" t="str">
        <f>HYPERLINK("https://rmda.kulib.kyoto-u.ac.jp/item/rb00002938?page=359")</f>
        <v>https://rmda.kulib.kyoto-u.ac.jp/item/rb00002938?page=359</v>
      </c>
      <c r="E4303" s="22"/>
      <c r="F4303" s="22"/>
      <c r="G4303" s="22"/>
    </row>
    <row r="4304" spans="1:7" x14ac:dyDescent="0.15">
      <c r="A4304" s="41" t="s">
        <v>9307</v>
      </c>
      <c r="B4304" s="25" t="s">
        <v>11880</v>
      </c>
      <c r="C4304" s="19" t="s">
        <v>11881</v>
      </c>
      <c r="D4304" s="42" t="str">
        <f>HYPERLINK("https://rmda.kulib.kyoto-u.ac.jp/item/rb00002938?page=360")</f>
        <v>https://rmda.kulib.kyoto-u.ac.jp/item/rb00002938?page=360</v>
      </c>
      <c r="E4304" s="22"/>
      <c r="F4304" s="22"/>
      <c r="G4304" s="22"/>
    </row>
    <row r="4305" spans="1:7" x14ac:dyDescent="0.15">
      <c r="A4305" s="41" t="s">
        <v>9307</v>
      </c>
      <c r="B4305" s="25" t="s">
        <v>11882</v>
      </c>
      <c r="C4305" s="19" t="s">
        <v>11883</v>
      </c>
      <c r="D4305" s="42" t="str">
        <f>HYPERLINK("https://rmda.kulib.kyoto-u.ac.jp/item/rb00002938?page=360")</f>
        <v>https://rmda.kulib.kyoto-u.ac.jp/item/rb00002938?page=360</v>
      </c>
      <c r="E4305" s="22"/>
      <c r="F4305" s="22"/>
      <c r="G4305" s="22"/>
    </row>
    <row r="4306" spans="1:7" x14ac:dyDescent="0.15">
      <c r="A4306" s="41" t="s">
        <v>9307</v>
      </c>
      <c r="B4306" s="25" t="s">
        <v>11884</v>
      </c>
      <c r="C4306" s="19" t="s">
        <v>11885</v>
      </c>
      <c r="D4306" s="42" t="str">
        <f>HYPERLINK("https://rmda.kulib.kyoto-u.ac.jp/item/rb00002938?page=360")</f>
        <v>https://rmda.kulib.kyoto-u.ac.jp/item/rb00002938?page=360</v>
      </c>
      <c r="E4306" s="22"/>
      <c r="F4306" s="22"/>
      <c r="G4306" s="22"/>
    </row>
    <row r="4307" spans="1:7" x14ac:dyDescent="0.15">
      <c r="A4307" s="41" t="s">
        <v>9307</v>
      </c>
      <c r="B4307" s="25" t="s">
        <v>10195</v>
      </c>
      <c r="C4307" s="19" t="s">
        <v>11886</v>
      </c>
      <c r="D4307" s="42" t="str">
        <f t="shared" ref="D4307:D4312" si="312">HYPERLINK("https://rmda.kulib.kyoto-u.ac.jp/item/rb00002938?page=361")</f>
        <v>https://rmda.kulib.kyoto-u.ac.jp/item/rb00002938?page=361</v>
      </c>
      <c r="E4307" s="22"/>
      <c r="F4307" s="22"/>
      <c r="G4307" s="22"/>
    </row>
    <row r="4308" spans="1:7" x14ac:dyDescent="0.15">
      <c r="A4308" s="41" t="s">
        <v>9307</v>
      </c>
      <c r="B4308" s="25" t="s">
        <v>11887</v>
      </c>
      <c r="C4308" s="19" t="s">
        <v>11888</v>
      </c>
      <c r="D4308" s="42" t="str">
        <f t="shared" si="312"/>
        <v>https://rmda.kulib.kyoto-u.ac.jp/item/rb00002938?page=361</v>
      </c>
      <c r="E4308" s="22"/>
      <c r="F4308" s="22"/>
      <c r="G4308" s="22"/>
    </row>
    <row r="4309" spans="1:7" x14ac:dyDescent="0.15">
      <c r="A4309" s="41" t="s">
        <v>9307</v>
      </c>
      <c r="B4309" s="25" t="s">
        <v>10231</v>
      </c>
      <c r="C4309" s="19" t="s">
        <v>11889</v>
      </c>
      <c r="D4309" s="42" t="str">
        <f t="shared" si="312"/>
        <v>https://rmda.kulib.kyoto-u.ac.jp/item/rb00002938?page=361</v>
      </c>
      <c r="E4309" s="22"/>
      <c r="F4309" s="22"/>
      <c r="G4309" s="22"/>
    </row>
    <row r="4310" spans="1:7" x14ac:dyDescent="0.15">
      <c r="A4310" s="41" t="s">
        <v>9307</v>
      </c>
      <c r="B4310" s="25" t="s">
        <v>10259</v>
      </c>
      <c r="C4310" s="19" t="s">
        <v>11890</v>
      </c>
      <c r="D4310" s="42" t="str">
        <f t="shared" si="312"/>
        <v>https://rmda.kulib.kyoto-u.ac.jp/item/rb00002938?page=361</v>
      </c>
      <c r="E4310" s="22"/>
      <c r="F4310" s="22"/>
      <c r="G4310" s="22"/>
    </row>
    <row r="4311" spans="1:7" x14ac:dyDescent="0.15">
      <c r="A4311" s="41" t="s">
        <v>9307</v>
      </c>
      <c r="B4311" s="25" t="s">
        <v>11891</v>
      </c>
      <c r="C4311" s="19" t="s">
        <v>11892</v>
      </c>
      <c r="D4311" s="42" t="str">
        <f t="shared" si="312"/>
        <v>https://rmda.kulib.kyoto-u.ac.jp/item/rb00002938?page=361</v>
      </c>
      <c r="E4311" s="22"/>
      <c r="F4311" s="22"/>
      <c r="G4311" s="22"/>
    </row>
    <row r="4312" spans="1:7" x14ac:dyDescent="0.15">
      <c r="A4312" s="41" t="s">
        <v>9307</v>
      </c>
      <c r="B4312" s="25" t="s">
        <v>11893</v>
      </c>
      <c r="C4312" s="19" t="s">
        <v>11894</v>
      </c>
      <c r="D4312" s="42" t="str">
        <f t="shared" si="312"/>
        <v>https://rmda.kulib.kyoto-u.ac.jp/item/rb00002938?page=361</v>
      </c>
      <c r="E4312" s="22"/>
      <c r="F4312" s="22"/>
      <c r="G4312" s="22"/>
    </row>
    <row r="4313" spans="1:7" x14ac:dyDescent="0.15">
      <c r="A4313" s="41" t="s">
        <v>9307</v>
      </c>
      <c r="B4313" s="25" t="s">
        <v>10263</v>
      </c>
      <c r="C4313" s="19" t="s">
        <v>11895</v>
      </c>
      <c r="D4313" s="42" t="str">
        <f t="shared" ref="D4313:D4320" si="313">HYPERLINK("https://rmda.kulib.kyoto-u.ac.jp/item/rb00002938?page=362")</f>
        <v>https://rmda.kulib.kyoto-u.ac.jp/item/rb00002938?page=362</v>
      </c>
      <c r="E4313" s="22"/>
      <c r="F4313" s="22"/>
      <c r="G4313" s="22"/>
    </row>
    <row r="4314" spans="1:7" x14ac:dyDescent="0.15">
      <c r="A4314" s="41" t="s">
        <v>9307</v>
      </c>
      <c r="B4314" s="25" t="s">
        <v>11896</v>
      </c>
      <c r="C4314" s="19" t="s">
        <v>11897</v>
      </c>
      <c r="D4314" s="42" t="str">
        <f t="shared" si="313"/>
        <v>https://rmda.kulib.kyoto-u.ac.jp/item/rb00002938?page=362</v>
      </c>
      <c r="E4314" s="22"/>
      <c r="F4314" s="22"/>
      <c r="G4314" s="22"/>
    </row>
    <row r="4315" spans="1:7" x14ac:dyDescent="0.15">
      <c r="A4315" s="41" t="s">
        <v>9307</v>
      </c>
      <c r="B4315" s="25" t="s">
        <v>11898</v>
      </c>
      <c r="C4315" s="19" t="s">
        <v>11899</v>
      </c>
      <c r="D4315" s="42" t="str">
        <f t="shared" si="313"/>
        <v>https://rmda.kulib.kyoto-u.ac.jp/item/rb00002938?page=362</v>
      </c>
      <c r="E4315" s="22"/>
      <c r="F4315" s="22"/>
      <c r="G4315" s="22"/>
    </row>
    <row r="4316" spans="1:7" x14ac:dyDescent="0.15">
      <c r="A4316" s="41" t="s">
        <v>9307</v>
      </c>
      <c r="B4316" s="25" t="s">
        <v>10255</v>
      </c>
      <c r="C4316" s="19" t="s">
        <v>11900</v>
      </c>
      <c r="D4316" s="42" t="str">
        <f t="shared" si="313"/>
        <v>https://rmda.kulib.kyoto-u.ac.jp/item/rb00002938?page=362</v>
      </c>
      <c r="E4316" s="22"/>
      <c r="F4316" s="22"/>
      <c r="G4316" s="22"/>
    </row>
    <row r="4317" spans="1:7" x14ac:dyDescent="0.15">
      <c r="A4317" s="41" t="s">
        <v>9307</v>
      </c>
      <c r="B4317" s="25" t="s">
        <v>10247</v>
      </c>
      <c r="C4317" s="19" t="s">
        <v>11901</v>
      </c>
      <c r="D4317" s="42" t="str">
        <f t="shared" si="313"/>
        <v>https://rmda.kulib.kyoto-u.ac.jp/item/rb00002938?page=362</v>
      </c>
      <c r="E4317" s="22"/>
      <c r="F4317" s="22"/>
      <c r="G4317" s="22"/>
    </row>
    <row r="4318" spans="1:7" x14ac:dyDescent="0.15">
      <c r="A4318" s="41" t="s">
        <v>9307</v>
      </c>
      <c r="B4318" s="25" t="s">
        <v>11902</v>
      </c>
      <c r="C4318" s="19" t="s">
        <v>11903</v>
      </c>
      <c r="D4318" s="42" t="str">
        <f t="shared" si="313"/>
        <v>https://rmda.kulib.kyoto-u.ac.jp/item/rb00002938?page=362</v>
      </c>
      <c r="E4318" s="22"/>
      <c r="F4318" s="22"/>
      <c r="G4318" s="22"/>
    </row>
    <row r="4319" spans="1:7" x14ac:dyDescent="0.15">
      <c r="A4319" s="41" t="s">
        <v>9307</v>
      </c>
      <c r="B4319" s="25" t="s">
        <v>11904</v>
      </c>
      <c r="C4319" s="19" t="s">
        <v>11905</v>
      </c>
      <c r="D4319" s="42" t="str">
        <f t="shared" si="313"/>
        <v>https://rmda.kulib.kyoto-u.ac.jp/item/rb00002938?page=362</v>
      </c>
      <c r="E4319" s="22"/>
      <c r="F4319" s="22"/>
      <c r="G4319" s="22"/>
    </row>
    <row r="4320" spans="1:7" x14ac:dyDescent="0.15">
      <c r="A4320" s="41" t="s">
        <v>9307</v>
      </c>
      <c r="B4320" s="25" t="s">
        <v>11906</v>
      </c>
      <c r="C4320" s="19" t="s">
        <v>11907</v>
      </c>
      <c r="D4320" s="42" t="str">
        <f t="shared" si="313"/>
        <v>https://rmda.kulib.kyoto-u.ac.jp/item/rb00002938?page=362</v>
      </c>
      <c r="E4320" s="22"/>
      <c r="F4320" s="22"/>
      <c r="G4320" s="22"/>
    </row>
    <row r="4321" spans="1:7" x14ac:dyDescent="0.15">
      <c r="A4321" s="41" t="s">
        <v>9307</v>
      </c>
      <c r="B4321" s="25" t="s">
        <v>11908</v>
      </c>
      <c r="C4321" s="19" t="s">
        <v>11909</v>
      </c>
      <c r="D4321" s="42" t="str">
        <f t="shared" ref="D4321:D4329" si="314">HYPERLINK("https://rmda.kulib.kyoto-u.ac.jp/item/rb00002938?page=363")</f>
        <v>https://rmda.kulib.kyoto-u.ac.jp/item/rb00002938?page=363</v>
      </c>
      <c r="E4321" s="22"/>
      <c r="F4321" s="22"/>
      <c r="G4321" s="22"/>
    </row>
    <row r="4322" spans="1:7" x14ac:dyDescent="0.15">
      <c r="A4322" s="41" t="s">
        <v>9307</v>
      </c>
      <c r="B4322" s="25" t="s">
        <v>10396</v>
      </c>
      <c r="C4322" s="19" t="s">
        <v>11910</v>
      </c>
      <c r="D4322" s="42" t="str">
        <f t="shared" si="314"/>
        <v>https://rmda.kulib.kyoto-u.ac.jp/item/rb00002938?page=363</v>
      </c>
      <c r="E4322" s="22"/>
      <c r="F4322" s="22"/>
      <c r="G4322" s="22"/>
    </row>
    <row r="4323" spans="1:7" x14ac:dyDescent="0.15">
      <c r="A4323" s="41" t="s">
        <v>9307</v>
      </c>
      <c r="B4323" s="25" t="s">
        <v>11911</v>
      </c>
      <c r="C4323" s="19" t="s">
        <v>11912</v>
      </c>
      <c r="D4323" s="42" t="str">
        <f t="shared" si="314"/>
        <v>https://rmda.kulib.kyoto-u.ac.jp/item/rb00002938?page=363</v>
      </c>
      <c r="E4323" s="22"/>
      <c r="F4323" s="22"/>
      <c r="G4323" s="22"/>
    </row>
    <row r="4324" spans="1:7" x14ac:dyDescent="0.15">
      <c r="A4324" s="41" t="s">
        <v>9307</v>
      </c>
      <c r="B4324" s="25" t="s">
        <v>11913</v>
      </c>
      <c r="C4324" s="19" t="s">
        <v>11914</v>
      </c>
      <c r="D4324" s="42" t="str">
        <f t="shared" si="314"/>
        <v>https://rmda.kulib.kyoto-u.ac.jp/item/rb00002938?page=363</v>
      </c>
      <c r="E4324" s="22"/>
      <c r="F4324" s="22"/>
      <c r="G4324" s="22"/>
    </row>
    <row r="4325" spans="1:7" x14ac:dyDescent="0.15">
      <c r="A4325" s="41" t="s">
        <v>9307</v>
      </c>
      <c r="B4325" s="25" t="s">
        <v>11915</v>
      </c>
      <c r="C4325" s="19" t="s">
        <v>11916</v>
      </c>
      <c r="D4325" s="42" t="str">
        <f t="shared" si="314"/>
        <v>https://rmda.kulib.kyoto-u.ac.jp/item/rb00002938?page=363</v>
      </c>
      <c r="E4325" s="22"/>
      <c r="F4325" s="22"/>
      <c r="G4325" s="22"/>
    </row>
    <row r="4326" spans="1:7" x14ac:dyDescent="0.15">
      <c r="A4326" s="41" t="s">
        <v>9307</v>
      </c>
      <c r="B4326" s="25" t="s">
        <v>11917</v>
      </c>
      <c r="C4326" s="19" t="s">
        <v>11918</v>
      </c>
      <c r="D4326" s="42" t="str">
        <f t="shared" si="314"/>
        <v>https://rmda.kulib.kyoto-u.ac.jp/item/rb00002938?page=363</v>
      </c>
      <c r="E4326" s="22"/>
      <c r="F4326" s="22"/>
      <c r="G4326" s="22"/>
    </row>
    <row r="4327" spans="1:7" x14ac:dyDescent="0.15">
      <c r="A4327" s="41" t="s">
        <v>9307</v>
      </c>
      <c r="B4327" s="25" t="s">
        <v>11919</v>
      </c>
      <c r="C4327" s="19" t="s">
        <v>11920</v>
      </c>
      <c r="D4327" s="42" t="str">
        <f t="shared" si="314"/>
        <v>https://rmda.kulib.kyoto-u.ac.jp/item/rb00002938?page=363</v>
      </c>
      <c r="E4327" s="22"/>
      <c r="F4327" s="22"/>
      <c r="G4327" s="22"/>
    </row>
    <row r="4328" spans="1:7" x14ac:dyDescent="0.15">
      <c r="A4328" s="41" t="s">
        <v>9307</v>
      </c>
      <c r="B4328" s="25" t="s">
        <v>11921</v>
      </c>
      <c r="C4328" s="19" t="s">
        <v>11922</v>
      </c>
      <c r="D4328" s="42" t="str">
        <f t="shared" si="314"/>
        <v>https://rmda.kulib.kyoto-u.ac.jp/item/rb00002938?page=363</v>
      </c>
      <c r="E4328" s="22"/>
      <c r="F4328" s="22"/>
      <c r="G4328" s="22"/>
    </row>
    <row r="4329" spans="1:7" x14ac:dyDescent="0.15">
      <c r="A4329" s="41" t="s">
        <v>9307</v>
      </c>
      <c r="B4329" s="25" t="s">
        <v>11923</v>
      </c>
      <c r="C4329" s="19" t="s">
        <v>11924</v>
      </c>
      <c r="D4329" s="42" t="str">
        <f t="shared" si="314"/>
        <v>https://rmda.kulib.kyoto-u.ac.jp/item/rb00002938?page=363</v>
      </c>
      <c r="E4329" s="22"/>
      <c r="F4329" s="22"/>
      <c r="G4329" s="22"/>
    </row>
    <row r="4330" spans="1:7" x14ac:dyDescent="0.15">
      <c r="A4330" s="41" t="s">
        <v>9307</v>
      </c>
      <c r="B4330" s="25" t="s">
        <v>11925</v>
      </c>
      <c r="C4330" s="19" t="s">
        <v>11926</v>
      </c>
      <c r="D4330" s="42" t="str">
        <f t="shared" ref="D4330:D4337" si="315">HYPERLINK("https://rmda.kulib.kyoto-u.ac.jp/item/rb00002938?page=364")</f>
        <v>https://rmda.kulib.kyoto-u.ac.jp/item/rb00002938?page=364</v>
      </c>
      <c r="E4330" s="22"/>
      <c r="F4330" s="22"/>
      <c r="G4330" s="22"/>
    </row>
    <row r="4331" spans="1:7" x14ac:dyDescent="0.15">
      <c r="A4331" s="41" t="s">
        <v>9307</v>
      </c>
      <c r="B4331" s="25" t="s">
        <v>11927</v>
      </c>
      <c r="C4331" s="19" t="s">
        <v>11928</v>
      </c>
      <c r="D4331" s="42" t="str">
        <f t="shared" si="315"/>
        <v>https://rmda.kulib.kyoto-u.ac.jp/item/rb00002938?page=364</v>
      </c>
      <c r="E4331" s="22"/>
      <c r="F4331" s="22"/>
      <c r="G4331" s="22"/>
    </row>
    <row r="4332" spans="1:7" x14ac:dyDescent="0.15">
      <c r="A4332" s="41" t="s">
        <v>9307</v>
      </c>
      <c r="B4332" s="25" t="s">
        <v>11929</v>
      </c>
      <c r="C4332" s="19" t="s">
        <v>11930</v>
      </c>
      <c r="D4332" s="42" t="str">
        <f t="shared" si="315"/>
        <v>https://rmda.kulib.kyoto-u.ac.jp/item/rb00002938?page=364</v>
      </c>
      <c r="E4332" s="22"/>
      <c r="F4332" s="22"/>
      <c r="G4332" s="22"/>
    </row>
    <row r="4333" spans="1:7" x14ac:dyDescent="0.15">
      <c r="A4333" s="41" t="s">
        <v>9307</v>
      </c>
      <c r="B4333" s="25" t="s">
        <v>11931</v>
      </c>
      <c r="C4333" s="19" t="s">
        <v>11932</v>
      </c>
      <c r="D4333" s="42" t="str">
        <f t="shared" si="315"/>
        <v>https://rmda.kulib.kyoto-u.ac.jp/item/rb00002938?page=364</v>
      </c>
      <c r="E4333" s="22"/>
      <c r="F4333" s="22"/>
      <c r="G4333" s="22"/>
    </row>
    <row r="4334" spans="1:7" x14ac:dyDescent="0.15">
      <c r="A4334" s="41" t="s">
        <v>9307</v>
      </c>
      <c r="B4334" s="25" t="s">
        <v>11933</v>
      </c>
      <c r="C4334" s="19" t="s">
        <v>11934</v>
      </c>
      <c r="D4334" s="42" t="str">
        <f t="shared" si="315"/>
        <v>https://rmda.kulib.kyoto-u.ac.jp/item/rb00002938?page=364</v>
      </c>
      <c r="E4334" s="22"/>
      <c r="F4334" s="22"/>
      <c r="G4334" s="22"/>
    </row>
    <row r="4335" spans="1:7" x14ac:dyDescent="0.15">
      <c r="A4335" s="41" t="s">
        <v>9307</v>
      </c>
      <c r="B4335" s="25" t="s">
        <v>11935</v>
      </c>
      <c r="C4335" s="19" t="s">
        <v>11936</v>
      </c>
      <c r="D4335" s="42" t="str">
        <f t="shared" si="315"/>
        <v>https://rmda.kulib.kyoto-u.ac.jp/item/rb00002938?page=364</v>
      </c>
      <c r="E4335" s="22"/>
      <c r="F4335" s="22"/>
      <c r="G4335" s="22"/>
    </row>
    <row r="4336" spans="1:7" x14ac:dyDescent="0.15">
      <c r="A4336" s="41" t="s">
        <v>9307</v>
      </c>
      <c r="B4336" s="25" t="s">
        <v>11937</v>
      </c>
      <c r="C4336" s="19" t="s">
        <v>11938</v>
      </c>
      <c r="D4336" s="42" t="str">
        <f t="shared" si="315"/>
        <v>https://rmda.kulib.kyoto-u.ac.jp/item/rb00002938?page=364</v>
      </c>
      <c r="E4336" s="22"/>
      <c r="F4336" s="22"/>
      <c r="G4336" s="22"/>
    </row>
    <row r="4337" spans="1:7" x14ac:dyDescent="0.15">
      <c r="A4337" s="41" t="s">
        <v>9307</v>
      </c>
      <c r="B4337" s="25" t="s">
        <v>11939</v>
      </c>
      <c r="C4337" s="19" t="s">
        <v>11940</v>
      </c>
      <c r="D4337" s="42" t="str">
        <f t="shared" si="315"/>
        <v>https://rmda.kulib.kyoto-u.ac.jp/item/rb00002938?page=364</v>
      </c>
      <c r="E4337" s="22"/>
      <c r="F4337" s="22"/>
      <c r="G4337" s="22"/>
    </row>
    <row r="4338" spans="1:7" x14ac:dyDescent="0.15">
      <c r="A4338" s="41" t="s">
        <v>9307</v>
      </c>
      <c r="B4338" s="25" t="s">
        <v>11941</v>
      </c>
      <c r="C4338" s="19" t="s">
        <v>11942</v>
      </c>
      <c r="D4338" s="42" t="str">
        <f>HYPERLINK("https://rmda.kulib.kyoto-u.ac.jp/item/rb00002938?page=365")</f>
        <v>https://rmda.kulib.kyoto-u.ac.jp/item/rb00002938?page=365</v>
      </c>
      <c r="E4338" s="22"/>
      <c r="F4338" s="22"/>
      <c r="G4338" s="22"/>
    </row>
    <row r="4339" spans="1:7" x14ac:dyDescent="0.15">
      <c r="A4339" s="41" t="s">
        <v>9307</v>
      </c>
      <c r="B4339" s="25" t="s">
        <v>11943</v>
      </c>
      <c r="C4339" s="19" t="s">
        <v>11944</v>
      </c>
      <c r="D4339" s="42" t="str">
        <f>HYPERLINK("https://rmda.kulib.kyoto-u.ac.jp/item/rb00002938?page=365")</f>
        <v>https://rmda.kulib.kyoto-u.ac.jp/item/rb00002938?page=365</v>
      </c>
      <c r="E4339" s="22"/>
      <c r="F4339" s="22"/>
      <c r="G4339" s="22"/>
    </row>
    <row r="4340" spans="1:7" x14ac:dyDescent="0.15">
      <c r="A4340" s="41" t="s">
        <v>9307</v>
      </c>
      <c r="B4340" s="25" t="s">
        <v>11945</v>
      </c>
      <c r="C4340" s="19" t="s">
        <v>11946</v>
      </c>
      <c r="D4340" s="42" t="str">
        <f>HYPERLINK("https://rmda.kulib.kyoto-u.ac.jp/item/rb00002938?page=365")</f>
        <v>https://rmda.kulib.kyoto-u.ac.jp/item/rb00002938?page=365</v>
      </c>
      <c r="E4340" s="22"/>
      <c r="F4340" s="22"/>
      <c r="G4340" s="22"/>
    </row>
    <row r="4341" spans="1:7" x14ac:dyDescent="0.15">
      <c r="A4341" s="41" t="s">
        <v>9307</v>
      </c>
      <c r="B4341" s="25" t="s">
        <v>11947</v>
      </c>
      <c r="C4341" s="19" t="s">
        <v>11948</v>
      </c>
      <c r="D4341" s="42" t="str">
        <f>HYPERLINK("https://rmda.kulib.kyoto-u.ac.jp/item/rb00002938?page=365")</f>
        <v>https://rmda.kulib.kyoto-u.ac.jp/item/rb00002938?page=365</v>
      </c>
      <c r="E4341" s="22"/>
      <c r="F4341" s="22"/>
      <c r="G4341" s="22"/>
    </row>
    <row r="4342" spans="1:7" x14ac:dyDescent="0.15">
      <c r="A4342" s="41" t="s">
        <v>9307</v>
      </c>
      <c r="B4342" s="25" t="s">
        <v>11949</v>
      </c>
      <c r="C4342" s="19" t="s">
        <v>11950</v>
      </c>
      <c r="D4342" s="42" t="str">
        <f>HYPERLINK("https://rmda.kulib.kyoto-u.ac.jp/item/rb00002938?page=365")</f>
        <v>https://rmda.kulib.kyoto-u.ac.jp/item/rb00002938?page=365</v>
      </c>
      <c r="E4342" s="22"/>
      <c r="F4342" s="22"/>
      <c r="G4342" s="22"/>
    </row>
    <row r="4343" spans="1:7" x14ac:dyDescent="0.15">
      <c r="A4343" s="41" t="s">
        <v>9307</v>
      </c>
      <c r="B4343" s="25" t="s">
        <v>11294</v>
      </c>
      <c r="C4343" s="19" t="s">
        <v>11951</v>
      </c>
      <c r="D4343" s="42" t="str">
        <f>HYPERLINK("https://rmda.kulib.kyoto-u.ac.jp/item/rb00002938?page=366")</f>
        <v>https://rmda.kulib.kyoto-u.ac.jp/item/rb00002938?page=366</v>
      </c>
      <c r="E4343" s="22"/>
      <c r="F4343" s="22"/>
      <c r="G4343" s="22"/>
    </row>
    <row r="4344" spans="1:7" x14ac:dyDescent="0.15">
      <c r="A4344" s="41" t="s">
        <v>9307</v>
      </c>
      <c r="B4344" s="25" t="s">
        <v>11952</v>
      </c>
      <c r="C4344" s="19" t="s">
        <v>11953</v>
      </c>
      <c r="D4344" s="42" t="str">
        <f>HYPERLINK("https://rmda.kulib.kyoto-u.ac.jp/item/rb00002938?page=366")</f>
        <v>https://rmda.kulib.kyoto-u.ac.jp/item/rb00002938?page=366</v>
      </c>
      <c r="E4344" s="22"/>
      <c r="F4344" s="22"/>
      <c r="G4344" s="22"/>
    </row>
    <row r="4345" spans="1:7" x14ac:dyDescent="0.15">
      <c r="A4345" s="41" t="s">
        <v>9307</v>
      </c>
      <c r="B4345" s="25" t="s">
        <v>11954</v>
      </c>
      <c r="C4345" s="19" t="s">
        <v>11955</v>
      </c>
      <c r="D4345" s="42" t="str">
        <f>HYPERLINK("https://rmda.kulib.kyoto-u.ac.jp/item/rb00002938?page=366")</f>
        <v>https://rmda.kulib.kyoto-u.ac.jp/item/rb00002938?page=366</v>
      </c>
      <c r="E4345" s="22"/>
      <c r="F4345" s="22"/>
      <c r="G4345" s="22"/>
    </row>
    <row r="4346" spans="1:7" x14ac:dyDescent="0.15">
      <c r="A4346" s="41" t="s">
        <v>9307</v>
      </c>
      <c r="B4346" s="25" t="s">
        <v>11956</v>
      </c>
      <c r="C4346" s="19" t="s">
        <v>11957</v>
      </c>
      <c r="D4346" s="42" t="str">
        <f>HYPERLINK("https://rmda.kulib.kyoto-u.ac.jp/item/rb00002938?page=366")</f>
        <v>https://rmda.kulib.kyoto-u.ac.jp/item/rb00002938?page=366</v>
      </c>
      <c r="E4346" s="22"/>
      <c r="F4346" s="22"/>
      <c r="G4346" s="22"/>
    </row>
    <row r="4347" spans="1:7" x14ac:dyDescent="0.15">
      <c r="A4347" s="41" t="s">
        <v>9307</v>
      </c>
      <c r="B4347" s="25" t="s">
        <v>11958</v>
      </c>
      <c r="C4347" s="19" t="s">
        <v>11959</v>
      </c>
      <c r="D4347" s="42" t="str">
        <f>HYPERLINK("https://rmda.kulib.kyoto-u.ac.jp/item/rb00002938?page=366")</f>
        <v>https://rmda.kulib.kyoto-u.ac.jp/item/rb00002938?page=366</v>
      </c>
      <c r="E4347" s="22"/>
      <c r="F4347" s="22"/>
      <c r="G4347" s="22"/>
    </row>
    <row r="4348" spans="1:7" x14ac:dyDescent="0.15">
      <c r="A4348" s="41" t="s">
        <v>9307</v>
      </c>
      <c r="B4348" s="25" t="s">
        <v>11960</v>
      </c>
      <c r="C4348" s="19" t="s">
        <v>11961</v>
      </c>
      <c r="D4348" s="42" t="str">
        <f>HYPERLINK("https://rmda.kulib.kyoto-u.ac.jp/item/rb00002938?page=367")</f>
        <v>https://rmda.kulib.kyoto-u.ac.jp/item/rb00002938?page=367</v>
      </c>
      <c r="E4348" s="22"/>
      <c r="F4348" s="22"/>
      <c r="G4348" s="22"/>
    </row>
    <row r="4349" spans="1:7" x14ac:dyDescent="0.15">
      <c r="A4349" s="41" t="s">
        <v>9307</v>
      </c>
      <c r="B4349" s="25" t="s">
        <v>11962</v>
      </c>
      <c r="C4349" s="19" t="s">
        <v>11963</v>
      </c>
      <c r="D4349" s="42" t="str">
        <f>HYPERLINK("https://rmda.kulib.kyoto-u.ac.jp/item/rb00002938?page=367")</f>
        <v>https://rmda.kulib.kyoto-u.ac.jp/item/rb00002938?page=367</v>
      </c>
      <c r="E4349" s="22"/>
      <c r="F4349" s="22"/>
      <c r="G4349" s="22"/>
    </row>
    <row r="4350" spans="1:7" x14ac:dyDescent="0.15">
      <c r="A4350" s="41" t="s">
        <v>9307</v>
      </c>
      <c r="B4350" s="25" t="s">
        <v>11964</v>
      </c>
      <c r="C4350" s="19" t="s">
        <v>11965</v>
      </c>
      <c r="D4350" s="42" t="str">
        <f>HYPERLINK("https://rmda.kulib.kyoto-u.ac.jp/item/rb00002938?page=367")</f>
        <v>https://rmda.kulib.kyoto-u.ac.jp/item/rb00002938?page=367</v>
      </c>
      <c r="E4350" s="22"/>
      <c r="F4350" s="22"/>
      <c r="G4350" s="22"/>
    </row>
    <row r="4351" spans="1:7" x14ac:dyDescent="0.15">
      <c r="A4351" s="41" t="s">
        <v>9307</v>
      </c>
      <c r="B4351" s="25" t="s">
        <v>6769</v>
      </c>
      <c r="C4351" s="19"/>
      <c r="D4351" s="42" t="str">
        <f>HYPERLINK("https://rmda.kulib.kyoto-u.ac.jp/item/rb00002938?page=370")</f>
        <v>https://rmda.kulib.kyoto-u.ac.jp/item/rb00002938?page=370</v>
      </c>
      <c r="E4351" s="22"/>
      <c r="F4351" s="22"/>
      <c r="G4351" s="22"/>
    </row>
    <row r="4352" spans="1:7" x14ac:dyDescent="0.15">
      <c r="A4352" s="41" t="s">
        <v>9307</v>
      </c>
      <c r="B4352" s="25" t="s">
        <v>11966</v>
      </c>
      <c r="C4352" s="19" t="s">
        <v>11967</v>
      </c>
      <c r="D4352" s="42" t="str">
        <f>HYPERLINK("https://rmda.kulib.kyoto-u.ac.jp/item/rb00002938?page=378")</f>
        <v>https://rmda.kulib.kyoto-u.ac.jp/item/rb00002938?page=378</v>
      </c>
      <c r="E4352" s="22"/>
      <c r="F4352" s="22"/>
      <c r="G4352" s="22"/>
    </row>
    <row r="4353" spans="1:7" x14ac:dyDescent="0.15">
      <c r="A4353" s="41" t="s">
        <v>9307</v>
      </c>
      <c r="B4353" s="25" t="s">
        <v>11968</v>
      </c>
      <c r="C4353" s="19" t="s">
        <v>11969</v>
      </c>
      <c r="D4353" s="42" t="str">
        <f>HYPERLINK("https://rmda.kulib.kyoto-u.ac.jp/item/rb00002938?page=381")</f>
        <v>https://rmda.kulib.kyoto-u.ac.jp/item/rb00002938?page=381</v>
      </c>
      <c r="E4353" s="22"/>
      <c r="F4353" s="22"/>
      <c r="G4353" s="22"/>
    </row>
    <row r="4354" spans="1:7" x14ac:dyDescent="0.15">
      <c r="A4354" s="41" t="s">
        <v>9307</v>
      </c>
      <c r="B4354" s="25" t="s">
        <v>11970</v>
      </c>
      <c r="C4354" s="19" t="s">
        <v>11971</v>
      </c>
      <c r="D4354" s="42" t="str">
        <f>HYPERLINK("https://rmda.kulib.kyoto-u.ac.jp/item/rb00002938?page=382")</f>
        <v>https://rmda.kulib.kyoto-u.ac.jp/item/rb00002938?page=382</v>
      </c>
      <c r="E4354" s="22"/>
      <c r="F4354" s="22"/>
      <c r="G4354" s="22"/>
    </row>
    <row r="4355" spans="1:7" x14ac:dyDescent="0.15">
      <c r="A4355" s="41" t="s">
        <v>9307</v>
      </c>
      <c r="B4355" s="25" t="s">
        <v>11972</v>
      </c>
      <c r="C4355" s="19" t="s">
        <v>11973</v>
      </c>
      <c r="D4355" s="42" t="str">
        <f>HYPERLINK("https://rmda.kulib.kyoto-u.ac.jp/item/rb00002938?page=382")</f>
        <v>https://rmda.kulib.kyoto-u.ac.jp/item/rb00002938?page=382</v>
      </c>
      <c r="E4355" s="22"/>
      <c r="F4355" s="22"/>
      <c r="G4355" s="22"/>
    </row>
    <row r="4356" spans="1:7" x14ac:dyDescent="0.15">
      <c r="A4356" s="41" t="s">
        <v>9307</v>
      </c>
      <c r="B4356" s="25" t="s">
        <v>11974</v>
      </c>
      <c r="C4356" s="19" t="s">
        <v>11975</v>
      </c>
      <c r="D4356" s="42" t="str">
        <f>HYPERLINK("https://rmda.kulib.kyoto-u.ac.jp/item/rb00002938?page=382")</f>
        <v>https://rmda.kulib.kyoto-u.ac.jp/item/rb00002938?page=382</v>
      </c>
      <c r="E4356" s="22"/>
      <c r="F4356" s="22"/>
      <c r="G4356" s="22"/>
    </row>
    <row r="4357" spans="1:7" ht="27" x14ac:dyDescent="0.15">
      <c r="A4357" s="41" t="s">
        <v>9307</v>
      </c>
      <c r="B4357" s="25" t="s">
        <v>11976</v>
      </c>
      <c r="C4357" s="19" t="s">
        <v>11977</v>
      </c>
      <c r="D4357" s="42" t="str">
        <f>HYPERLINK("https://rmda.kulib.kyoto-u.ac.jp/item/rb00002938?page=382")</f>
        <v>https://rmda.kulib.kyoto-u.ac.jp/item/rb00002938?page=382</v>
      </c>
      <c r="E4357" s="22"/>
      <c r="F4357" s="22"/>
      <c r="G4357" s="22"/>
    </row>
    <row r="4358" spans="1:7" x14ac:dyDescent="0.15">
      <c r="A4358" s="41" t="s">
        <v>9307</v>
      </c>
      <c r="B4358" s="25" t="s">
        <v>11978</v>
      </c>
      <c r="C4358" s="19" t="s">
        <v>11979</v>
      </c>
      <c r="D4358" s="42" t="str">
        <f>HYPERLINK("https://rmda.kulib.kyoto-u.ac.jp/item/rb00002938?page=382")</f>
        <v>https://rmda.kulib.kyoto-u.ac.jp/item/rb00002938?page=382</v>
      </c>
      <c r="E4358" s="22"/>
      <c r="F4358" s="22"/>
      <c r="G4358" s="22"/>
    </row>
    <row r="4359" spans="1:7" x14ac:dyDescent="0.15">
      <c r="A4359" s="41" t="s">
        <v>9307</v>
      </c>
      <c r="B4359" s="25" t="s">
        <v>11980</v>
      </c>
      <c r="C4359" s="19" t="s">
        <v>11981</v>
      </c>
      <c r="D4359" s="42" t="str">
        <f>HYPERLINK("https://rmda.kulib.kyoto-u.ac.jp/item/rb00002938?page=383")</f>
        <v>https://rmda.kulib.kyoto-u.ac.jp/item/rb00002938?page=383</v>
      </c>
      <c r="E4359" s="22"/>
      <c r="F4359" s="22"/>
      <c r="G4359" s="22"/>
    </row>
    <row r="4360" spans="1:7" ht="27" x14ac:dyDescent="0.15">
      <c r="A4360" s="41" t="s">
        <v>9307</v>
      </c>
      <c r="B4360" s="25" t="s">
        <v>11982</v>
      </c>
      <c r="C4360" s="19" t="s">
        <v>11983</v>
      </c>
      <c r="D4360" s="42" t="str">
        <f>HYPERLINK("https://rmda.kulib.kyoto-u.ac.jp/item/rb00002938?page=383")</f>
        <v>https://rmda.kulib.kyoto-u.ac.jp/item/rb00002938?page=383</v>
      </c>
      <c r="E4360" s="22"/>
      <c r="F4360" s="22"/>
      <c r="G4360" s="22"/>
    </row>
    <row r="4361" spans="1:7" x14ac:dyDescent="0.15">
      <c r="A4361" s="41" t="s">
        <v>9307</v>
      </c>
      <c r="B4361" s="25" t="s">
        <v>11984</v>
      </c>
      <c r="C4361" s="19" t="s">
        <v>11985</v>
      </c>
      <c r="D4361" s="42" t="str">
        <f>HYPERLINK("https://rmda.kulib.kyoto-u.ac.jp/item/rb00002938?page=383")</f>
        <v>https://rmda.kulib.kyoto-u.ac.jp/item/rb00002938?page=383</v>
      </c>
      <c r="E4361" s="22"/>
      <c r="F4361" s="22"/>
      <c r="G4361" s="22"/>
    </row>
    <row r="4362" spans="1:7" x14ac:dyDescent="0.15">
      <c r="A4362" s="41" t="s">
        <v>9307</v>
      </c>
      <c r="B4362" s="25" t="s">
        <v>11986</v>
      </c>
      <c r="C4362" s="19" t="s">
        <v>11987</v>
      </c>
      <c r="D4362" s="42" t="str">
        <f>HYPERLINK("https://rmda.kulib.kyoto-u.ac.jp/item/rb00002938?page=383")</f>
        <v>https://rmda.kulib.kyoto-u.ac.jp/item/rb00002938?page=383</v>
      </c>
      <c r="E4362" s="22"/>
      <c r="F4362" s="22"/>
      <c r="G4362" s="22"/>
    </row>
    <row r="4363" spans="1:7" x14ac:dyDescent="0.15">
      <c r="A4363" s="41" t="s">
        <v>9307</v>
      </c>
      <c r="B4363" s="25" t="s">
        <v>11988</v>
      </c>
      <c r="C4363" s="19" t="s">
        <v>11989</v>
      </c>
      <c r="D4363" s="42" t="str">
        <f>HYPERLINK("https://rmda.kulib.kyoto-u.ac.jp/item/rb00002938?page=383")</f>
        <v>https://rmda.kulib.kyoto-u.ac.jp/item/rb00002938?page=383</v>
      </c>
      <c r="E4363" s="22"/>
      <c r="F4363" s="22"/>
      <c r="G4363" s="22"/>
    </row>
    <row r="4364" spans="1:7" x14ac:dyDescent="0.15">
      <c r="A4364" s="41" t="s">
        <v>9307</v>
      </c>
      <c r="B4364" s="25" t="s">
        <v>11990</v>
      </c>
      <c r="C4364" s="19" t="s">
        <v>11991</v>
      </c>
      <c r="D4364" s="42" t="str">
        <f t="shared" ref="D4364:D4371" si="316">HYPERLINK("https://rmda.kulib.kyoto-u.ac.jp/item/rb00002938?page=384")</f>
        <v>https://rmda.kulib.kyoto-u.ac.jp/item/rb00002938?page=384</v>
      </c>
      <c r="E4364" s="22"/>
      <c r="F4364" s="22"/>
      <c r="G4364" s="22"/>
    </row>
    <row r="4365" spans="1:7" x14ac:dyDescent="0.15">
      <c r="A4365" s="41" t="s">
        <v>9307</v>
      </c>
      <c r="B4365" s="25" t="s">
        <v>11992</v>
      </c>
      <c r="C4365" s="19" t="s">
        <v>11993</v>
      </c>
      <c r="D4365" s="42" t="str">
        <f t="shared" si="316"/>
        <v>https://rmda.kulib.kyoto-u.ac.jp/item/rb00002938?page=384</v>
      </c>
      <c r="E4365" s="22"/>
      <c r="F4365" s="22"/>
      <c r="G4365" s="22"/>
    </row>
    <row r="4366" spans="1:7" x14ac:dyDescent="0.15">
      <c r="A4366" s="41" t="s">
        <v>9307</v>
      </c>
      <c r="B4366" s="25" t="s">
        <v>11994</v>
      </c>
      <c r="C4366" s="19" t="s">
        <v>11995</v>
      </c>
      <c r="D4366" s="42" t="str">
        <f t="shared" si="316"/>
        <v>https://rmda.kulib.kyoto-u.ac.jp/item/rb00002938?page=384</v>
      </c>
      <c r="E4366" s="22"/>
      <c r="F4366" s="22"/>
      <c r="G4366" s="22"/>
    </row>
    <row r="4367" spans="1:7" x14ac:dyDescent="0.15">
      <c r="A4367" s="41" t="s">
        <v>9307</v>
      </c>
      <c r="B4367" s="25" t="s">
        <v>11996</v>
      </c>
      <c r="C4367" s="19" t="s">
        <v>11997</v>
      </c>
      <c r="D4367" s="42" t="str">
        <f t="shared" si="316"/>
        <v>https://rmda.kulib.kyoto-u.ac.jp/item/rb00002938?page=384</v>
      </c>
      <c r="E4367" s="22"/>
      <c r="F4367" s="22"/>
      <c r="G4367" s="22"/>
    </row>
    <row r="4368" spans="1:7" x14ac:dyDescent="0.15">
      <c r="A4368" s="41" t="s">
        <v>9307</v>
      </c>
      <c r="B4368" s="25" t="s">
        <v>11998</v>
      </c>
      <c r="C4368" s="19" t="s">
        <v>11999</v>
      </c>
      <c r="D4368" s="42" t="str">
        <f t="shared" si="316"/>
        <v>https://rmda.kulib.kyoto-u.ac.jp/item/rb00002938?page=384</v>
      </c>
      <c r="E4368" s="22"/>
      <c r="F4368" s="22"/>
      <c r="G4368" s="22"/>
    </row>
    <row r="4369" spans="1:7" x14ac:dyDescent="0.15">
      <c r="A4369" s="41" t="s">
        <v>9307</v>
      </c>
      <c r="B4369" s="25" t="s">
        <v>12000</v>
      </c>
      <c r="C4369" s="19" t="s">
        <v>12001</v>
      </c>
      <c r="D4369" s="42" t="str">
        <f t="shared" si="316"/>
        <v>https://rmda.kulib.kyoto-u.ac.jp/item/rb00002938?page=384</v>
      </c>
      <c r="E4369" s="22"/>
      <c r="F4369" s="22"/>
      <c r="G4369" s="22"/>
    </row>
    <row r="4370" spans="1:7" x14ac:dyDescent="0.15">
      <c r="A4370" s="41" t="s">
        <v>9307</v>
      </c>
      <c r="B4370" s="25" t="s">
        <v>12002</v>
      </c>
      <c r="C4370" s="19" t="s">
        <v>12003</v>
      </c>
      <c r="D4370" s="42" t="str">
        <f t="shared" si="316"/>
        <v>https://rmda.kulib.kyoto-u.ac.jp/item/rb00002938?page=384</v>
      </c>
      <c r="E4370" s="22"/>
      <c r="F4370" s="22"/>
      <c r="G4370" s="22"/>
    </row>
    <row r="4371" spans="1:7" x14ac:dyDescent="0.15">
      <c r="A4371" s="41" t="s">
        <v>9307</v>
      </c>
      <c r="B4371" s="25" t="s">
        <v>12004</v>
      </c>
      <c r="C4371" s="19" t="s">
        <v>12005</v>
      </c>
      <c r="D4371" s="42" t="str">
        <f t="shared" si="316"/>
        <v>https://rmda.kulib.kyoto-u.ac.jp/item/rb00002938?page=384</v>
      </c>
      <c r="E4371" s="22"/>
      <c r="F4371" s="22"/>
      <c r="G4371" s="22"/>
    </row>
    <row r="4372" spans="1:7" x14ac:dyDescent="0.15">
      <c r="A4372" s="41" t="s">
        <v>9307</v>
      </c>
      <c r="B4372" s="25" t="s">
        <v>12006</v>
      </c>
      <c r="C4372" s="19" t="s">
        <v>12007</v>
      </c>
      <c r="D4372" s="42" t="str">
        <f>HYPERLINK("https://rmda.kulib.kyoto-u.ac.jp/item/rb00002938?page=385")</f>
        <v>https://rmda.kulib.kyoto-u.ac.jp/item/rb00002938?page=385</v>
      </c>
      <c r="E4372" s="22"/>
      <c r="F4372" s="22"/>
      <c r="G4372" s="22"/>
    </row>
    <row r="4373" spans="1:7" x14ac:dyDescent="0.15">
      <c r="A4373" s="41" t="s">
        <v>9307</v>
      </c>
      <c r="B4373" s="25" t="s">
        <v>12008</v>
      </c>
      <c r="C4373" s="19" t="s">
        <v>12009</v>
      </c>
      <c r="D4373" s="42" t="str">
        <f>HYPERLINK("https://rmda.kulib.kyoto-u.ac.jp/item/rb00002938?page=385")</f>
        <v>https://rmda.kulib.kyoto-u.ac.jp/item/rb00002938?page=385</v>
      </c>
      <c r="E4373" s="22"/>
      <c r="F4373" s="22"/>
      <c r="G4373" s="22"/>
    </row>
    <row r="4374" spans="1:7" x14ac:dyDescent="0.15">
      <c r="A4374" s="41" t="s">
        <v>9307</v>
      </c>
      <c r="B4374" s="25" t="s">
        <v>12010</v>
      </c>
      <c r="C4374" s="19" t="s">
        <v>12011</v>
      </c>
      <c r="D4374" s="42" t="str">
        <f>HYPERLINK("https://rmda.kulib.kyoto-u.ac.jp/item/rb00002938?page=385")</f>
        <v>https://rmda.kulib.kyoto-u.ac.jp/item/rb00002938?page=385</v>
      </c>
      <c r="E4374" s="22"/>
      <c r="F4374" s="22"/>
      <c r="G4374" s="22"/>
    </row>
    <row r="4375" spans="1:7" x14ac:dyDescent="0.15">
      <c r="A4375" s="41" t="s">
        <v>9307</v>
      </c>
      <c r="B4375" s="25" t="s">
        <v>12012</v>
      </c>
      <c r="C4375" s="19" t="s">
        <v>12013</v>
      </c>
      <c r="D4375" s="42" t="str">
        <f>HYPERLINK("https://rmda.kulib.kyoto-u.ac.jp/item/rb00002938?page=386")</f>
        <v>https://rmda.kulib.kyoto-u.ac.jp/item/rb00002938?page=386</v>
      </c>
      <c r="E4375" s="22"/>
      <c r="F4375" s="22"/>
      <c r="G4375" s="22"/>
    </row>
    <row r="4376" spans="1:7" x14ac:dyDescent="0.15">
      <c r="A4376" s="41" t="s">
        <v>9307</v>
      </c>
      <c r="B4376" s="25" t="s">
        <v>12014</v>
      </c>
      <c r="C4376" s="19" t="s">
        <v>12015</v>
      </c>
      <c r="D4376" s="42" t="str">
        <f>HYPERLINK("https://rmda.kulib.kyoto-u.ac.jp/item/rb00002938?page=386")</f>
        <v>https://rmda.kulib.kyoto-u.ac.jp/item/rb00002938?page=386</v>
      </c>
      <c r="E4376" s="22"/>
      <c r="F4376" s="22"/>
      <c r="G4376" s="22"/>
    </row>
    <row r="4377" spans="1:7" x14ac:dyDescent="0.15">
      <c r="A4377" s="41" t="s">
        <v>9307</v>
      </c>
      <c r="B4377" s="25" t="s">
        <v>12016</v>
      </c>
      <c r="C4377" s="19" t="s">
        <v>12017</v>
      </c>
      <c r="D4377" s="42" t="str">
        <f>HYPERLINK("https://rmda.kulib.kyoto-u.ac.jp/item/rb00002938?page=386")</f>
        <v>https://rmda.kulib.kyoto-u.ac.jp/item/rb00002938?page=386</v>
      </c>
      <c r="E4377" s="22"/>
      <c r="F4377" s="22"/>
      <c r="G4377" s="22"/>
    </row>
    <row r="4378" spans="1:7" x14ac:dyDescent="0.15">
      <c r="A4378" s="41" t="s">
        <v>9307</v>
      </c>
      <c r="B4378" s="25" t="s">
        <v>12018</v>
      </c>
      <c r="C4378" s="19" t="s">
        <v>12019</v>
      </c>
      <c r="D4378" s="42" t="str">
        <f>HYPERLINK("https://rmda.kulib.kyoto-u.ac.jp/item/rb00002938?page=386")</f>
        <v>https://rmda.kulib.kyoto-u.ac.jp/item/rb00002938?page=386</v>
      </c>
      <c r="E4378" s="22"/>
      <c r="F4378" s="22"/>
      <c r="G4378" s="22"/>
    </row>
    <row r="4379" spans="1:7" x14ac:dyDescent="0.15">
      <c r="A4379" s="41" t="s">
        <v>9307</v>
      </c>
      <c r="B4379" s="25" t="s">
        <v>12020</v>
      </c>
      <c r="C4379" s="19" t="s">
        <v>12021</v>
      </c>
      <c r="D4379" s="42" t="str">
        <f t="shared" ref="D4379:D4384" si="317">HYPERLINK("https://rmda.kulib.kyoto-u.ac.jp/item/rb00002938?page=387")</f>
        <v>https://rmda.kulib.kyoto-u.ac.jp/item/rb00002938?page=387</v>
      </c>
      <c r="E4379" s="22"/>
      <c r="F4379" s="22"/>
      <c r="G4379" s="22"/>
    </row>
    <row r="4380" spans="1:7" x14ac:dyDescent="0.15">
      <c r="A4380" s="41" t="s">
        <v>9307</v>
      </c>
      <c r="B4380" s="25" t="s">
        <v>12022</v>
      </c>
      <c r="C4380" s="19" t="s">
        <v>12023</v>
      </c>
      <c r="D4380" s="42" t="str">
        <f t="shared" si="317"/>
        <v>https://rmda.kulib.kyoto-u.ac.jp/item/rb00002938?page=387</v>
      </c>
      <c r="E4380" s="22"/>
      <c r="F4380" s="22"/>
      <c r="G4380" s="22"/>
    </row>
    <row r="4381" spans="1:7" x14ac:dyDescent="0.15">
      <c r="A4381" s="41" t="s">
        <v>9307</v>
      </c>
      <c r="B4381" s="25" t="s">
        <v>12024</v>
      </c>
      <c r="C4381" s="19" t="s">
        <v>12025</v>
      </c>
      <c r="D4381" s="42" t="str">
        <f t="shared" si="317"/>
        <v>https://rmda.kulib.kyoto-u.ac.jp/item/rb00002938?page=387</v>
      </c>
      <c r="E4381" s="22"/>
      <c r="F4381" s="22"/>
      <c r="G4381" s="22"/>
    </row>
    <row r="4382" spans="1:7" x14ac:dyDescent="0.15">
      <c r="A4382" s="41" t="s">
        <v>9307</v>
      </c>
      <c r="B4382" s="25" t="s">
        <v>12026</v>
      </c>
      <c r="C4382" s="19" t="s">
        <v>12027</v>
      </c>
      <c r="D4382" s="42" t="str">
        <f t="shared" si="317"/>
        <v>https://rmda.kulib.kyoto-u.ac.jp/item/rb00002938?page=387</v>
      </c>
      <c r="E4382" s="22"/>
      <c r="F4382" s="22"/>
      <c r="G4382" s="22"/>
    </row>
    <row r="4383" spans="1:7" x14ac:dyDescent="0.15">
      <c r="A4383" s="41" t="s">
        <v>9307</v>
      </c>
      <c r="B4383" s="25" t="s">
        <v>12028</v>
      </c>
      <c r="C4383" s="19" t="s">
        <v>12029</v>
      </c>
      <c r="D4383" s="42" t="str">
        <f t="shared" si="317"/>
        <v>https://rmda.kulib.kyoto-u.ac.jp/item/rb00002938?page=387</v>
      </c>
      <c r="E4383" s="22"/>
      <c r="F4383" s="22"/>
      <c r="G4383" s="22"/>
    </row>
    <row r="4384" spans="1:7" x14ac:dyDescent="0.15">
      <c r="A4384" s="41" t="s">
        <v>9307</v>
      </c>
      <c r="B4384" s="25" t="s">
        <v>12030</v>
      </c>
      <c r="C4384" s="19" t="s">
        <v>12031</v>
      </c>
      <c r="D4384" s="42" t="str">
        <f t="shared" si="317"/>
        <v>https://rmda.kulib.kyoto-u.ac.jp/item/rb00002938?page=387</v>
      </c>
      <c r="E4384" s="22"/>
      <c r="F4384" s="22"/>
      <c r="G4384" s="22"/>
    </row>
    <row r="4385" spans="1:7" x14ac:dyDescent="0.15">
      <c r="A4385" s="41" t="s">
        <v>9307</v>
      </c>
      <c r="B4385" s="25" t="s">
        <v>12032</v>
      </c>
      <c r="C4385" s="19" t="s">
        <v>12033</v>
      </c>
      <c r="D4385" s="42" t="str">
        <f t="shared" ref="D4385:D4390" si="318">HYPERLINK("https://rmda.kulib.kyoto-u.ac.jp/item/rb00002938?page=388")</f>
        <v>https://rmda.kulib.kyoto-u.ac.jp/item/rb00002938?page=388</v>
      </c>
      <c r="E4385" s="22"/>
      <c r="F4385" s="22"/>
      <c r="G4385" s="22"/>
    </row>
    <row r="4386" spans="1:7" x14ac:dyDescent="0.15">
      <c r="A4386" s="41" t="s">
        <v>9307</v>
      </c>
      <c r="B4386" s="25" t="s">
        <v>12034</v>
      </c>
      <c r="C4386" s="19" t="s">
        <v>12035</v>
      </c>
      <c r="D4386" s="42" t="str">
        <f t="shared" si="318"/>
        <v>https://rmda.kulib.kyoto-u.ac.jp/item/rb00002938?page=388</v>
      </c>
      <c r="E4386" s="22"/>
      <c r="F4386" s="22"/>
      <c r="G4386" s="22"/>
    </row>
    <row r="4387" spans="1:7" x14ac:dyDescent="0.15">
      <c r="A4387" s="41" t="s">
        <v>9307</v>
      </c>
      <c r="B4387" s="25" t="s">
        <v>12036</v>
      </c>
      <c r="C4387" s="19" t="s">
        <v>12037</v>
      </c>
      <c r="D4387" s="42" t="str">
        <f t="shared" si="318"/>
        <v>https://rmda.kulib.kyoto-u.ac.jp/item/rb00002938?page=388</v>
      </c>
      <c r="E4387" s="22"/>
      <c r="F4387" s="22"/>
      <c r="G4387" s="22"/>
    </row>
    <row r="4388" spans="1:7" x14ac:dyDescent="0.15">
      <c r="A4388" s="41" t="s">
        <v>9307</v>
      </c>
      <c r="B4388" s="25" t="s">
        <v>12038</v>
      </c>
      <c r="C4388" s="19" t="s">
        <v>12039</v>
      </c>
      <c r="D4388" s="42" t="str">
        <f t="shared" si="318"/>
        <v>https://rmda.kulib.kyoto-u.ac.jp/item/rb00002938?page=388</v>
      </c>
      <c r="E4388" s="22"/>
      <c r="F4388" s="22"/>
      <c r="G4388" s="22"/>
    </row>
    <row r="4389" spans="1:7" x14ac:dyDescent="0.15">
      <c r="A4389" s="41" t="s">
        <v>9307</v>
      </c>
      <c r="B4389" s="25" t="s">
        <v>12040</v>
      </c>
      <c r="C4389" s="19" t="s">
        <v>12041</v>
      </c>
      <c r="D4389" s="42" t="str">
        <f t="shared" si="318"/>
        <v>https://rmda.kulib.kyoto-u.ac.jp/item/rb00002938?page=388</v>
      </c>
      <c r="E4389" s="22"/>
      <c r="F4389" s="22"/>
      <c r="G4389" s="22"/>
    </row>
    <row r="4390" spans="1:7" x14ac:dyDescent="0.15">
      <c r="A4390" s="41" t="s">
        <v>9307</v>
      </c>
      <c r="B4390" s="25" t="s">
        <v>12042</v>
      </c>
      <c r="C4390" s="19" t="s">
        <v>12043</v>
      </c>
      <c r="D4390" s="42" t="str">
        <f t="shared" si="318"/>
        <v>https://rmda.kulib.kyoto-u.ac.jp/item/rb00002938?page=388</v>
      </c>
      <c r="E4390" s="22"/>
      <c r="F4390" s="22"/>
      <c r="G4390" s="22"/>
    </row>
    <row r="4391" spans="1:7" x14ac:dyDescent="0.15">
      <c r="A4391" s="41" t="s">
        <v>9307</v>
      </c>
      <c r="B4391" s="25" t="s">
        <v>12044</v>
      </c>
      <c r="C4391" s="19" t="s">
        <v>12045</v>
      </c>
      <c r="D4391" s="42" t="str">
        <f t="shared" ref="D4391:D4396" si="319">HYPERLINK("https://rmda.kulib.kyoto-u.ac.jp/item/rb00002938?page=389")</f>
        <v>https://rmda.kulib.kyoto-u.ac.jp/item/rb00002938?page=389</v>
      </c>
      <c r="E4391" s="22"/>
      <c r="F4391" s="22"/>
      <c r="G4391" s="22"/>
    </row>
    <row r="4392" spans="1:7" x14ac:dyDescent="0.15">
      <c r="A4392" s="41" t="s">
        <v>9307</v>
      </c>
      <c r="B4392" s="25" t="s">
        <v>12046</v>
      </c>
      <c r="C4392" s="19" t="s">
        <v>12047</v>
      </c>
      <c r="D4392" s="42" t="str">
        <f t="shared" si="319"/>
        <v>https://rmda.kulib.kyoto-u.ac.jp/item/rb00002938?page=389</v>
      </c>
      <c r="E4392" s="22"/>
      <c r="F4392" s="22"/>
      <c r="G4392" s="22"/>
    </row>
    <row r="4393" spans="1:7" x14ac:dyDescent="0.15">
      <c r="A4393" s="41" t="s">
        <v>9307</v>
      </c>
      <c r="B4393" s="25" t="s">
        <v>12048</v>
      </c>
      <c r="C4393" s="19" t="s">
        <v>12049</v>
      </c>
      <c r="D4393" s="42" t="str">
        <f t="shared" si="319"/>
        <v>https://rmda.kulib.kyoto-u.ac.jp/item/rb00002938?page=389</v>
      </c>
      <c r="E4393" s="22"/>
      <c r="F4393" s="22"/>
      <c r="G4393" s="22"/>
    </row>
    <row r="4394" spans="1:7" x14ac:dyDescent="0.15">
      <c r="A4394" s="41" t="s">
        <v>9307</v>
      </c>
      <c r="B4394" s="25" t="s">
        <v>12050</v>
      </c>
      <c r="C4394" s="19" t="s">
        <v>12051</v>
      </c>
      <c r="D4394" s="42" t="str">
        <f t="shared" si="319"/>
        <v>https://rmda.kulib.kyoto-u.ac.jp/item/rb00002938?page=389</v>
      </c>
      <c r="E4394" s="22"/>
      <c r="F4394" s="22"/>
      <c r="G4394" s="22"/>
    </row>
    <row r="4395" spans="1:7" x14ac:dyDescent="0.15">
      <c r="A4395" s="41" t="s">
        <v>9307</v>
      </c>
      <c r="B4395" s="25" t="s">
        <v>12052</v>
      </c>
      <c r="C4395" s="19" t="s">
        <v>12053</v>
      </c>
      <c r="D4395" s="42" t="str">
        <f t="shared" si="319"/>
        <v>https://rmda.kulib.kyoto-u.ac.jp/item/rb00002938?page=389</v>
      </c>
      <c r="E4395" s="22"/>
      <c r="F4395" s="22"/>
      <c r="G4395" s="22"/>
    </row>
    <row r="4396" spans="1:7" x14ac:dyDescent="0.15">
      <c r="A4396" s="41" t="s">
        <v>9307</v>
      </c>
      <c r="B4396" s="25" t="s">
        <v>12054</v>
      </c>
      <c r="C4396" s="19" t="s">
        <v>12055</v>
      </c>
      <c r="D4396" s="42" t="str">
        <f t="shared" si="319"/>
        <v>https://rmda.kulib.kyoto-u.ac.jp/item/rb00002938?page=389</v>
      </c>
      <c r="E4396" s="22"/>
      <c r="F4396" s="22"/>
      <c r="G4396" s="22"/>
    </row>
    <row r="4397" spans="1:7" x14ac:dyDescent="0.15">
      <c r="A4397" s="41" t="s">
        <v>9307</v>
      </c>
      <c r="B4397" s="25" t="s">
        <v>12056</v>
      </c>
      <c r="C4397" s="19" t="s">
        <v>12057</v>
      </c>
      <c r="D4397" s="42" t="str">
        <f>HYPERLINK("https://rmda.kulib.kyoto-u.ac.jp/item/rb00002938?page=390")</f>
        <v>https://rmda.kulib.kyoto-u.ac.jp/item/rb00002938?page=390</v>
      </c>
      <c r="E4397" s="22"/>
      <c r="F4397" s="22"/>
      <c r="G4397" s="22"/>
    </row>
    <row r="4398" spans="1:7" x14ac:dyDescent="0.15">
      <c r="A4398" s="41" t="s">
        <v>9307</v>
      </c>
      <c r="B4398" s="25" t="s">
        <v>12058</v>
      </c>
      <c r="C4398" s="19" t="s">
        <v>12059</v>
      </c>
      <c r="D4398" s="42" t="str">
        <f>HYPERLINK("https://rmda.kulib.kyoto-u.ac.jp/item/rb00002938?page=390")</f>
        <v>https://rmda.kulib.kyoto-u.ac.jp/item/rb00002938?page=390</v>
      </c>
      <c r="E4398" s="22"/>
      <c r="F4398" s="22"/>
      <c r="G4398" s="22"/>
    </row>
    <row r="4399" spans="1:7" x14ac:dyDescent="0.15">
      <c r="A4399" s="41" t="s">
        <v>9307</v>
      </c>
      <c r="B4399" s="25" t="s">
        <v>12060</v>
      </c>
      <c r="C4399" s="19" t="s">
        <v>12061</v>
      </c>
      <c r="D4399" s="42" t="str">
        <f>HYPERLINK("https://rmda.kulib.kyoto-u.ac.jp/item/rb00002938?page=390")</f>
        <v>https://rmda.kulib.kyoto-u.ac.jp/item/rb00002938?page=390</v>
      </c>
      <c r="E4399" s="22"/>
      <c r="F4399" s="22"/>
      <c r="G4399" s="22"/>
    </row>
    <row r="4400" spans="1:7" x14ac:dyDescent="0.15">
      <c r="A4400" s="41" t="s">
        <v>9307</v>
      </c>
      <c r="B4400" s="25" t="s">
        <v>12062</v>
      </c>
      <c r="C4400" s="19" t="s">
        <v>12063</v>
      </c>
      <c r="D4400" s="42" t="str">
        <f>HYPERLINK("https://rmda.kulib.kyoto-u.ac.jp/item/rb00002938?page=390")</f>
        <v>https://rmda.kulib.kyoto-u.ac.jp/item/rb00002938?page=390</v>
      </c>
      <c r="E4400" s="22"/>
      <c r="F4400" s="22"/>
      <c r="G4400" s="22"/>
    </row>
    <row r="4401" spans="1:7" x14ac:dyDescent="0.15">
      <c r="A4401" s="41" t="s">
        <v>9307</v>
      </c>
      <c r="B4401" s="25" t="s">
        <v>12064</v>
      </c>
      <c r="C4401" s="19" t="s">
        <v>12065</v>
      </c>
      <c r="D4401" s="42" t="str">
        <f>HYPERLINK("https://rmda.kulib.kyoto-u.ac.jp/item/rb00002938?page=390")</f>
        <v>https://rmda.kulib.kyoto-u.ac.jp/item/rb00002938?page=390</v>
      </c>
      <c r="E4401" s="22"/>
      <c r="F4401" s="22"/>
      <c r="G4401" s="22"/>
    </row>
    <row r="4402" spans="1:7" x14ac:dyDescent="0.15">
      <c r="A4402" s="41" t="s">
        <v>9307</v>
      </c>
      <c r="B4402" s="25" t="s">
        <v>12066</v>
      </c>
      <c r="C4402" s="19" t="s">
        <v>12067</v>
      </c>
      <c r="D4402" s="42" t="str">
        <f t="shared" ref="D4402:D4408" si="320">HYPERLINK("https://rmda.kulib.kyoto-u.ac.jp/item/rb00002938?page=391")</f>
        <v>https://rmda.kulib.kyoto-u.ac.jp/item/rb00002938?page=391</v>
      </c>
      <c r="E4402" s="22"/>
      <c r="F4402" s="22"/>
      <c r="G4402" s="22"/>
    </row>
    <row r="4403" spans="1:7" x14ac:dyDescent="0.15">
      <c r="A4403" s="41" t="s">
        <v>9307</v>
      </c>
      <c r="B4403" s="25" t="s">
        <v>12068</v>
      </c>
      <c r="C4403" s="19" t="s">
        <v>12069</v>
      </c>
      <c r="D4403" s="42" t="str">
        <f t="shared" si="320"/>
        <v>https://rmda.kulib.kyoto-u.ac.jp/item/rb00002938?page=391</v>
      </c>
      <c r="E4403" s="22"/>
      <c r="F4403" s="22"/>
      <c r="G4403" s="22"/>
    </row>
    <row r="4404" spans="1:7" x14ac:dyDescent="0.15">
      <c r="A4404" s="41" t="s">
        <v>9307</v>
      </c>
      <c r="B4404" s="25" t="s">
        <v>12070</v>
      </c>
      <c r="C4404" s="19" t="s">
        <v>12071</v>
      </c>
      <c r="D4404" s="42" t="str">
        <f t="shared" si="320"/>
        <v>https://rmda.kulib.kyoto-u.ac.jp/item/rb00002938?page=391</v>
      </c>
      <c r="E4404" s="22"/>
      <c r="F4404" s="22"/>
      <c r="G4404" s="22"/>
    </row>
    <row r="4405" spans="1:7" x14ac:dyDescent="0.15">
      <c r="A4405" s="41" t="s">
        <v>9307</v>
      </c>
      <c r="B4405" s="25" t="s">
        <v>12072</v>
      </c>
      <c r="C4405" s="19" t="s">
        <v>12073</v>
      </c>
      <c r="D4405" s="42" t="str">
        <f t="shared" si="320"/>
        <v>https://rmda.kulib.kyoto-u.ac.jp/item/rb00002938?page=391</v>
      </c>
      <c r="E4405" s="22"/>
      <c r="F4405" s="22"/>
      <c r="G4405" s="22"/>
    </row>
    <row r="4406" spans="1:7" x14ac:dyDescent="0.15">
      <c r="A4406" s="41" t="s">
        <v>9307</v>
      </c>
      <c r="B4406" s="25" t="s">
        <v>12074</v>
      </c>
      <c r="C4406" s="19" t="s">
        <v>12075</v>
      </c>
      <c r="D4406" s="42" t="str">
        <f t="shared" si="320"/>
        <v>https://rmda.kulib.kyoto-u.ac.jp/item/rb00002938?page=391</v>
      </c>
      <c r="E4406" s="22"/>
      <c r="F4406" s="22"/>
      <c r="G4406" s="22"/>
    </row>
    <row r="4407" spans="1:7" x14ac:dyDescent="0.15">
      <c r="A4407" s="41" t="s">
        <v>9307</v>
      </c>
      <c r="B4407" s="25" t="s">
        <v>12076</v>
      </c>
      <c r="C4407" s="19" t="s">
        <v>12077</v>
      </c>
      <c r="D4407" s="42" t="str">
        <f t="shared" si="320"/>
        <v>https://rmda.kulib.kyoto-u.ac.jp/item/rb00002938?page=391</v>
      </c>
      <c r="E4407" s="22"/>
      <c r="F4407" s="22"/>
      <c r="G4407" s="22"/>
    </row>
    <row r="4408" spans="1:7" x14ac:dyDescent="0.15">
      <c r="A4408" s="41" t="s">
        <v>9307</v>
      </c>
      <c r="B4408" s="25" t="s">
        <v>12078</v>
      </c>
      <c r="C4408" s="19" t="s">
        <v>12079</v>
      </c>
      <c r="D4408" s="42" t="str">
        <f t="shared" si="320"/>
        <v>https://rmda.kulib.kyoto-u.ac.jp/item/rb00002938?page=391</v>
      </c>
      <c r="E4408" s="22"/>
      <c r="F4408" s="22"/>
      <c r="G4408" s="22"/>
    </row>
    <row r="4409" spans="1:7" x14ac:dyDescent="0.15">
      <c r="A4409" s="41" t="s">
        <v>9307</v>
      </c>
      <c r="B4409" s="25" t="s">
        <v>12080</v>
      </c>
      <c r="C4409" s="19" t="s">
        <v>12081</v>
      </c>
      <c r="D4409" s="42" t="str">
        <f>HYPERLINK("https://rmda.kulib.kyoto-u.ac.jp/item/rb00002938?page=392")</f>
        <v>https://rmda.kulib.kyoto-u.ac.jp/item/rb00002938?page=392</v>
      </c>
      <c r="E4409" s="22"/>
      <c r="F4409" s="22"/>
      <c r="G4409" s="22"/>
    </row>
    <row r="4410" spans="1:7" x14ac:dyDescent="0.15">
      <c r="A4410" s="41" t="s">
        <v>9307</v>
      </c>
      <c r="B4410" s="25" t="s">
        <v>12082</v>
      </c>
      <c r="C4410" s="19" t="s">
        <v>12083</v>
      </c>
      <c r="D4410" s="42" t="str">
        <f>HYPERLINK("https://rmda.kulib.kyoto-u.ac.jp/item/rb00002938?page=392")</f>
        <v>https://rmda.kulib.kyoto-u.ac.jp/item/rb00002938?page=392</v>
      </c>
      <c r="E4410" s="22"/>
      <c r="F4410" s="22"/>
      <c r="G4410" s="22"/>
    </row>
    <row r="4411" spans="1:7" x14ac:dyDescent="0.15">
      <c r="A4411" s="41" t="s">
        <v>9307</v>
      </c>
      <c r="B4411" s="25" t="s">
        <v>12084</v>
      </c>
      <c r="C4411" s="19" t="s">
        <v>12085</v>
      </c>
      <c r="D4411" s="42" t="str">
        <f>HYPERLINK("https://rmda.kulib.kyoto-u.ac.jp/item/rb00002938?page=392")</f>
        <v>https://rmda.kulib.kyoto-u.ac.jp/item/rb00002938?page=392</v>
      </c>
      <c r="E4411" s="22"/>
      <c r="F4411" s="22"/>
      <c r="G4411" s="22"/>
    </row>
    <row r="4412" spans="1:7" x14ac:dyDescent="0.15">
      <c r="A4412" s="41" t="s">
        <v>9307</v>
      </c>
      <c r="B4412" s="25" t="s">
        <v>12086</v>
      </c>
      <c r="C4412" s="19" t="s">
        <v>12087</v>
      </c>
      <c r="D4412" s="42" t="str">
        <f>HYPERLINK("https://rmda.kulib.kyoto-u.ac.jp/item/rb00002938?page=392")</f>
        <v>https://rmda.kulib.kyoto-u.ac.jp/item/rb00002938?page=392</v>
      </c>
      <c r="E4412" s="22"/>
      <c r="F4412" s="22"/>
      <c r="G4412" s="22"/>
    </row>
    <row r="4413" spans="1:7" x14ac:dyDescent="0.15">
      <c r="A4413" s="41" t="s">
        <v>9307</v>
      </c>
      <c r="B4413" s="25" t="s">
        <v>12088</v>
      </c>
      <c r="C4413" s="19" t="s">
        <v>12089</v>
      </c>
      <c r="D4413" s="42" t="str">
        <f>HYPERLINK("https://rmda.kulib.kyoto-u.ac.jp/item/rb00002938?page=393")</f>
        <v>https://rmda.kulib.kyoto-u.ac.jp/item/rb00002938?page=393</v>
      </c>
      <c r="E4413" s="22"/>
      <c r="F4413" s="22"/>
      <c r="G4413" s="22"/>
    </row>
    <row r="4414" spans="1:7" x14ac:dyDescent="0.15">
      <c r="A4414" s="41" t="s">
        <v>9307</v>
      </c>
      <c r="B4414" s="25" t="s">
        <v>12090</v>
      </c>
      <c r="C4414" s="19" t="s">
        <v>12091</v>
      </c>
      <c r="D4414" s="42" t="str">
        <f>HYPERLINK("https://rmda.kulib.kyoto-u.ac.jp/item/rb00002938?page=393")</f>
        <v>https://rmda.kulib.kyoto-u.ac.jp/item/rb00002938?page=393</v>
      </c>
      <c r="E4414" s="22"/>
      <c r="F4414" s="22"/>
      <c r="G4414" s="22"/>
    </row>
    <row r="4415" spans="1:7" x14ac:dyDescent="0.15">
      <c r="A4415" s="41" t="s">
        <v>9307</v>
      </c>
      <c r="B4415" s="25" t="s">
        <v>12092</v>
      </c>
      <c r="C4415" s="19" t="s">
        <v>12093</v>
      </c>
      <c r="D4415" s="42" t="str">
        <f>HYPERLINK("https://rmda.kulib.kyoto-u.ac.jp/item/rb00002938?page=393")</f>
        <v>https://rmda.kulib.kyoto-u.ac.jp/item/rb00002938?page=393</v>
      </c>
      <c r="E4415" s="22"/>
      <c r="F4415" s="22"/>
      <c r="G4415" s="22"/>
    </row>
    <row r="4416" spans="1:7" x14ac:dyDescent="0.15">
      <c r="A4416" s="41" t="s">
        <v>9307</v>
      </c>
      <c r="B4416" s="25" t="s">
        <v>12094</v>
      </c>
      <c r="C4416" s="19" t="s">
        <v>12095</v>
      </c>
      <c r="D4416" s="42" t="str">
        <f>HYPERLINK("https://rmda.kulib.kyoto-u.ac.jp/item/rb00002938?page=394")</f>
        <v>https://rmda.kulib.kyoto-u.ac.jp/item/rb00002938?page=394</v>
      </c>
      <c r="E4416" s="22"/>
      <c r="F4416" s="22"/>
      <c r="G4416" s="22"/>
    </row>
    <row r="4417" spans="1:7" x14ac:dyDescent="0.15">
      <c r="A4417" s="41" t="s">
        <v>9307</v>
      </c>
      <c r="B4417" s="43" t="s">
        <v>12096</v>
      </c>
      <c r="C4417" s="31" t="s">
        <v>12097</v>
      </c>
      <c r="D4417" s="44" t="s">
        <v>12098</v>
      </c>
      <c r="E4417" s="22"/>
      <c r="F4417" s="22"/>
      <c r="G4417" s="22"/>
    </row>
    <row r="4418" spans="1:7" x14ac:dyDescent="0.15">
      <c r="A4418" s="41" t="s">
        <v>9307</v>
      </c>
      <c r="B4418" s="43" t="s">
        <v>12099</v>
      </c>
      <c r="C4418" s="19" t="s">
        <v>12100</v>
      </c>
      <c r="D4418" s="44" t="s">
        <v>12098</v>
      </c>
      <c r="E4418" s="22"/>
      <c r="F4418" s="22"/>
      <c r="G4418" s="22"/>
    </row>
    <row r="4419" spans="1:7" x14ac:dyDescent="0.15">
      <c r="A4419" s="41" t="s">
        <v>9307</v>
      </c>
      <c r="B4419" s="43" t="s">
        <v>12101</v>
      </c>
      <c r="C4419" s="19" t="s">
        <v>12102</v>
      </c>
      <c r="D4419" s="44" t="s">
        <v>12098</v>
      </c>
      <c r="E4419" s="22"/>
      <c r="F4419" s="22"/>
      <c r="G4419" s="22"/>
    </row>
    <row r="4420" spans="1:7" x14ac:dyDescent="0.15">
      <c r="A4420" s="41" t="s">
        <v>9307</v>
      </c>
      <c r="B4420" s="43" t="s">
        <v>12103</v>
      </c>
      <c r="C4420" s="19" t="s">
        <v>12104</v>
      </c>
      <c r="D4420" s="44" t="s">
        <v>12098</v>
      </c>
      <c r="E4420" s="22"/>
      <c r="F4420" s="22"/>
      <c r="G4420" s="22"/>
    </row>
    <row r="4421" spans="1:7" x14ac:dyDescent="0.15">
      <c r="A4421" s="41" t="s">
        <v>9307</v>
      </c>
      <c r="B4421" s="43" t="s">
        <v>12105</v>
      </c>
      <c r="C4421" s="31" t="s">
        <v>12106</v>
      </c>
      <c r="D4421" s="44" t="s">
        <v>12098</v>
      </c>
      <c r="E4421" s="22"/>
      <c r="F4421" s="22"/>
      <c r="G4421" s="22"/>
    </row>
    <row r="4422" spans="1:7" x14ac:dyDescent="0.15">
      <c r="A4422" s="41" t="s">
        <v>9307</v>
      </c>
      <c r="B4422" s="25" t="s">
        <v>12107</v>
      </c>
      <c r="C4422" s="19" t="s">
        <v>12108</v>
      </c>
      <c r="D4422" s="42" t="str">
        <f>HYPERLINK("https://rmda.kulib.kyoto-u.ac.jp/item/rb00002938?page=394")</f>
        <v>https://rmda.kulib.kyoto-u.ac.jp/item/rb00002938?page=394</v>
      </c>
      <c r="E4422" s="22"/>
      <c r="F4422" s="22"/>
      <c r="G4422" s="22"/>
    </row>
    <row r="4423" spans="1:7" x14ac:dyDescent="0.15">
      <c r="A4423" s="41" t="s">
        <v>9307</v>
      </c>
      <c r="B4423" s="25" t="s">
        <v>12109</v>
      </c>
      <c r="C4423" s="19" t="s">
        <v>12110</v>
      </c>
      <c r="D4423" s="42" t="str">
        <f>HYPERLINK("https://rmda.kulib.kyoto-u.ac.jp/item/rb00002938?page=394")</f>
        <v>https://rmda.kulib.kyoto-u.ac.jp/item/rb00002938?page=394</v>
      </c>
      <c r="E4423" s="22"/>
      <c r="F4423" s="22"/>
      <c r="G4423" s="22"/>
    </row>
    <row r="4424" spans="1:7" x14ac:dyDescent="0.15">
      <c r="A4424" s="41" t="s">
        <v>9307</v>
      </c>
      <c r="B4424" s="25" t="s">
        <v>12111</v>
      </c>
      <c r="C4424" s="19" t="s">
        <v>12112</v>
      </c>
      <c r="D4424" s="42" t="str">
        <f t="shared" ref="D4424:D4429" si="321">HYPERLINK("https://rmda.kulib.kyoto-u.ac.jp/item/rb00002938?page=395")</f>
        <v>https://rmda.kulib.kyoto-u.ac.jp/item/rb00002938?page=395</v>
      </c>
      <c r="E4424" s="22"/>
      <c r="F4424" s="22"/>
      <c r="G4424" s="22"/>
    </row>
    <row r="4425" spans="1:7" x14ac:dyDescent="0.15">
      <c r="A4425" s="41" t="s">
        <v>9307</v>
      </c>
      <c r="B4425" s="25" t="s">
        <v>12113</v>
      </c>
      <c r="C4425" s="19" t="s">
        <v>12114</v>
      </c>
      <c r="D4425" s="42" t="str">
        <f t="shared" si="321"/>
        <v>https://rmda.kulib.kyoto-u.ac.jp/item/rb00002938?page=395</v>
      </c>
      <c r="E4425" s="22"/>
      <c r="F4425" s="22"/>
      <c r="G4425" s="22"/>
    </row>
    <row r="4426" spans="1:7" x14ac:dyDescent="0.15">
      <c r="A4426" s="41" t="s">
        <v>9307</v>
      </c>
      <c r="B4426" s="25" t="s">
        <v>12115</v>
      </c>
      <c r="C4426" s="19" t="s">
        <v>12116</v>
      </c>
      <c r="D4426" s="42" t="str">
        <f t="shared" si="321"/>
        <v>https://rmda.kulib.kyoto-u.ac.jp/item/rb00002938?page=395</v>
      </c>
      <c r="E4426" s="22"/>
      <c r="F4426" s="22"/>
      <c r="G4426" s="22"/>
    </row>
    <row r="4427" spans="1:7" x14ac:dyDescent="0.15">
      <c r="A4427" s="41" t="s">
        <v>9307</v>
      </c>
      <c r="B4427" s="25" t="s">
        <v>12117</v>
      </c>
      <c r="C4427" s="19" t="s">
        <v>12118</v>
      </c>
      <c r="D4427" s="42" t="str">
        <f t="shared" si="321"/>
        <v>https://rmda.kulib.kyoto-u.ac.jp/item/rb00002938?page=395</v>
      </c>
      <c r="E4427" s="22"/>
      <c r="F4427" s="22"/>
      <c r="G4427" s="22"/>
    </row>
    <row r="4428" spans="1:7" x14ac:dyDescent="0.15">
      <c r="A4428" s="41" t="s">
        <v>9307</v>
      </c>
      <c r="B4428" s="25" t="s">
        <v>12119</v>
      </c>
      <c r="C4428" s="19" t="s">
        <v>12120</v>
      </c>
      <c r="D4428" s="42" t="str">
        <f t="shared" si="321"/>
        <v>https://rmda.kulib.kyoto-u.ac.jp/item/rb00002938?page=395</v>
      </c>
      <c r="E4428" s="22"/>
      <c r="F4428" s="22"/>
      <c r="G4428" s="22"/>
    </row>
    <row r="4429" spans="1:7" x14ac:dyDescent="0.15">
      <c r="A4429" s="41" t="s">
        <v>9307</v>
      </c>
      <c r="B4429" s="25" t="s">
        <v>12121</v>
      </c>
      <c r="C4429" s="19" t="s">
        <v>12122</v>
      </c>
      <c r="D4429" s="42" t="str">
        <f t="shared" si="321"/>
        <v>https://rmda.kulib.kyoto-u.ac.jp/item/rb00002938?page=395</v>
      </c>
      <c r="E4429" s="22"/>
      <c r="F4429" s="22"/>
      <c r="G4429" s="22"/>
    </row>
    <row r="4430" spans="1:7" x14ac:dyDescent="0.15">
      <c r="A4430" s="41" t="s">
        <v>9307</v>
      </c>
      <c r="B4430" s="25" t="s">
        <v>12123</v>
      </c>
      <c r="C4430" s="19" t="s">
        <v>12124</v>
      </c>
      <c r="D4430" s="42" t="str">
        <f t="shared" ref="D4430:D4435" si="322">HYPERLINK("https://rmda.kulib.kyoto-u.ac.jp/item/rb00002938?page=396")</f>
        <v>https://rmda.kulib.kyoto-u.ac.jp/item/rb00002938?page=396</v>
      </c>
      <c r="E4430" s="22"/>
      <c r="F4430" s="22"/>
      <c r="G4430" s="22"/>
    </row>
    <row r="4431" spans="1:7" x14ac:dyDescent="0.15">
      <c r="A4431" s="41" t="s">
        <v>9307</v>
      </c>
      <c r="B4431" s="25" t="s">
        <v>12125</v>
      </c>
      <c r="C4431" s="19" t="s">
        <v>12126</v>
      </c>
      <c r="D4431" s="42" t="str">
        <f t="shared" si="322"/>
        <v>https://rmda.kulib.kyoto-u.ac.jp/item/rb00002938?page=396</v>
      </c>
      <c r="E4431" s="22"/>
      <c r="F4431" s="22"/>
      <c r="G4431" s="22"/>
    </row>
    <row r="4432" spans="1:7" x14ac:dyDescent="0.15">
      <c r="A4432" s="41" t="s">
        <v>9307</v>
      </c>
      <c r="B4432" s="25" t="s">
        <v>12127</v>
      </c>
      <c r="C4432" s="19" t="s">
        <v>12128</v>
      </c>
      <c r="D4432" s="42" t="str">
        <f t="shared" si="322"/>
        <v>https://rmda.kulib.kyoto-u.ac.jp/item/rb00002938?page=396</v>
      </c>
      <c r="E4432" s="22"/>
      <c r="F4432" s="22"/>
      <c r="G4432" s="22"/>
    </row>
    <row r="4433" spans="1:7" x14ac:dyDescent="0.15">
      <c r="A4433" s="41" t="s">
        <v>9307</v>
      </c>
      <c r="B4433" s="25" t="s">
        <v>12129</v>
      </c>
      <c r="C4433" s="19" t="s">
        <v>12130</v>
      </c>
      <c r="D4433" s="42" t="str">
        <f t="shared" si="322"/>
        <v>https://rmda.kulib.kyoto-u.ac.jp/item/rb00002938?page=396</v>
      </c>
      <c r="E4433" s="22"/>
      <c r="F4433" s="22"/>
      <c r="G4433" s="22"/>
    </row>
    <row r="4434" spans="1:7" x14ac:dyDescent="0.15">
      <c r="A4434" s="41" t="s">
        <v>9307</v>
      </c>
      <c r="B4434" s="25" t="s">
        <v>12131</v>
      </c>
      <c r="C4434" s="19" t="s">
        <v>12132</v>
      </c>
      <c r="D4434" s="42" t="str">
        <f t="shared" si="322"/>
        <v>https://rmda.kulib.kyoto-u.ac.jp/item/rb00002938?page=396</v>
      </c>
      <c r="E4434" s="22"/>
      <c r="F4434" s="22"/>
      <c r="G4434" s="22"/>
    </row>
    <row r="4435" spans="1:7" x14ac:dyDescent="0.15">
      <c r="A4435" s="41" t="s">
        <v>9307</v>
      </c>
      <c r="B4435" s="25" t="s">
        <v>12133</v>
      </c>
      <c r="C4435" s="19" t="s">
        <v>12134</v>
      </c>
      <c r="D4435" s="42" t="str">
        <f t="shared" si="322"/>
        <v>https://rmda.kulib.kyoto-u.ac.jp/item/rb00002938?page=396</v>
      </c>
      <c r="E4435" s="22"/>
      <c r="F4435" s="22"/>
      <c r="G4435" s="22"/>
    </row>
    <row r="4436" spans="1:7" x14ac:dyDescent="0.15">
      <c r="A4436" s="41" t="s">
        <v>9307</v>
      </c>
      <c r="B4436" s="25" t="s">
        <v>12135</v>
      </c>
      <c r="C4436" s="19" t="s">
        <v>12136</v>
      </c>
      <c r="D4436" s="42" t="str">
        <f t="shared" ref="D4436:D4443" si="323">HYPERLINK("https://rmda.kulib.kyoto-u.ac.jp/item/rb00002938?page=397")</f>
        <v>https://rmda.kulib.kyoto-u.ac.jp/item/rb00002938?page=397</v>
      </c>
      <c r="E4436" s="22"/>
      <c r="F4436" s="22"/>
      <c r="G4436" s="22"/>
    </row>
    <row r="4437" spans="1:7" x14ac:dyDescent="0.15">
      <c r="A4437" s="41" t="s">
        <v>9307</v>
      </c>
      <c r="B4437" s="25" t="s">
        <v>12137</v>
      </c>
      <c r="C4437" s="19" t="s">
        <v>12138</v>
      </c>
      <c r="D4437" s="42" t="str">
        <f t="shared" si="323"/>
        <v>https://rmda.kulib.kyoto-u.ac.jp/item/rb00002938?page=397</v>
      </c>
      <c r="E4437" s="22"/>
      <c r="F4437" s="22"/>
      <c r="G4437" s="22"/>
    </row>
    <row r="4438" spans="1:7" x14ac:dyDescent="0.15">
      <c r="A4438" s="41" t="s">
        <v>9307</v>
      </c>
      <c r="B4438" s="25" t="s">
        <v>12139</v>
      </c>
      <c r="C4438" s="19" t="s">
        <v>12140</v>
      </c>
      <c r="D4438" s="42" t="str">
        <f t="shared" si="323"/>
        <v>https://rmda.kulib.kyoto-u.ac.jp/item/rb00002938?page=397</v>
      </c>
      <c r="E4438" s="22"/>
      <c r="F4438" s="22"/>
      <c r="G4438" s="22"/>
    </row>
    <row r="4439" spans="1:7" x14ac:dyDescent="0.15">
      <c r="A4439" s="41" t="s">
        <v>9307</v>
      </c>
      <c r="B4439" s="25" t="s">
        <v>12141</v>
      </c>
      <c r="C4439" s="19" t="s">
        <v>12142</v>
      </c>
      <c r="D4439" s="42" t="str">
        <f t="shared" si="323"/>
        <v>https://rmda.kulib.kyoto-u.ac.jp/item/rb00002938?page=397</v>
      </c>
      <c r="E4439" s="22"/>
      <c r="F4439" s="22"/>
      <c r="G4439" s="22"/>
    </row>
    <row r="4440" spans="1:7" x14ac:dyDescent="0.15">
      <c r="A4440" s="41" t="s">
        <v>9307</v>
      </c>
      <c r="B4440" s="25" t="s">
        <v>12143</v>
      </c>
      <c r="C4440" s="19" t="s">
        <v>12144</v>
      </c>
      <c r="D4440" s="42" t="str">
        <f t="shared" si="323"/>
        <v>https://rmda.kulib.kyoto-u.ac.jp/item/rb00002938?page=397</v>
      </c>
      <c r="E4440" s="22"/>
      <c r="F4440" s="22"/>
      <c r="G4440" s="22"/>
    </row>
    <row r="4441" spans="1:7" x14ac:dyDescent="0.15">
      <c r="A4441" s="41" t="s">
        <v>9307</v>
      </c>
      <c r="B4441" s="25" t="s">
        <v>12145</v>
      </c>
      <c r="C4441" s="19" t="s">
        <v>12146</v>
      </c>
      <c r="D4441" s="42" t="str">
        <f t="shared" si="323"/>
        <v>https://rmda.kulib.kyoto-u.ac.jp/item/rb00002938?page=397</v>
      </c>
      <c r="E4441" s="22"/>
      <c r="F4441" s="22"/>
      <c r="G4441" s="22"/>
    </row>
    <row r="4442" spans="1:7" x14ac:dyDescent="0.15">
      <c r="A4442" s="41" t="s">
        <v>9307</v>
      </c>
      <c r="B4442" s="25" t="s">
        <v>12147</v>
      </c>
      <c r="C4442" s="19" t="s">
        <v>12148</v>
      </c>
      <c r="D4442" s="42" t="str">
        <f t="shared" si="323"/>
        <v>https://rmda.kulib.kyoto-u.ac.jp/item/rb00002938?page=397</v>
      </c>
      <c r="E4442" s="22"/>
      <c r="F4442" s="22"/>
      <c r="G4442" s="22"/>
    </row>
    <row r="4443" spans="1:7" x14ac:dyDescent="0.15">
      <c r="A4443" s="41" t="s">
        <v>9307</v>
      </c>
      <c r="B4443" s="25" t="s">
        <v>12149</v>
      </c>
      <c r="C4443" s="19" t="s">
        <v>12150</v>
      </c>
      <c r="D4443" s="42" t="str">
        <f t="shared" si="323"/>
        <v>https://rmda.kulib.kyoto-u.ac.jp/item/rb00002938?page=397</v>
      </c>
      <c r="E4443" s="22"/>
      <c r="F4443" s="22"/>
      <c r="G4443" s="22"/>
    </row>
    <row r="4444" spans="1:7" x14ac:dyDescent="0.15">
      <c r="A4444" s="41" t="s">
        <v>9307</v>
      </c>
      <c r="B4444" s="25" t="s">
        <v>12151</v>
      </c>
      <c r="C4444" s="19" t="s">
        <v>12152</v>
      </c>
      <c r="D4444" s="42" t="str">
        <f>HYPERLINK("https://rmda.kulib.kyoto-u.ac.jp/item/rb00002938?page=398")</f>
        <v>https://rmda.kulib.kyoto-u.ac.jp/item/rb00002938?page=398</v>
      </c>
      <c r="E4444" s="22"/>
      <c r="F4444" s="22"/>
      <c r="G4444" s="22"/>
    </row>
    <row r="4445" spans="1:7" x14ac:dyDescent="0.15">
      <c r="A4445" s="41" t="s">
        <v>9307</v>
      </c>
      <c r="B4445" s="25" t="s">
        <v>12153</v>
      </c>
      <c r="C4445" s="19" t="s">
        <v>12154</v>
      </c>
      <c r="D4445" s="42" t="str">
        <f>HYPERLINK("https://rmda.kulib.kyoto-u.ac.jp/item/rb00002938?page=398")</f>
        <v>https://rmda.kulib.kyoto-u.ac.jp/item/rb00002938?page=398</v>
      </c>
      <c r="E4445" s="22"/>
      <c r="F4445" s="22"/>
      <c r="G4445" s="22"/>
    </row>
    <row r="4446" spans="1:7" x14ac:dyDescent="0.15">
      <c r="A4446" s="41" t="s">
        <v>9307</v>
      </c>
      <c r="B4446" s="25" t="s">
        <v>12155</v>
      </c>
      <c r="C4446" s="19" t="s">
        <v>12156</v>
      </c>
      <c r="D4446" s="42" t="str">
        <f>HYPERLINK("https://rmda.kulib.kyoto-u.ac.jp/item/rb00002938?page=398")</f>
        <v>https://rmda.kulib.kyoto-u.ac.jp/item/rb00002938?page=398</v>
      </c>
      <c r="E4446" s="22"/>
      <c r="F4446" s="22"/>
      <c r="G4446" s="22"/>
    </row>
    <row r="4447" spans="1:7" x14ac:dyDescent="0.15">
      <c r="A4447" s="41" t="s">
        <v>9307</v>
      </c>
      <c r="B4447" s="25" t="s">
        <v>12157</v>
      </c>
      <c r="C4447" s="19" t="s">
        <v>12158</v>
      </c>
      <c r="D4447" s="42" t="str">
        <f>HYPERLINK("https://rmda.kulib.kyoto-u.ac.jp/item/rb00002938?page=398")</f>
        <v>https://rmda.kulib.kyoto-u.ac.jp/item/rb00002938?page=398</v>
      </c>
      <c r="E4447" s="22"/>
      <c r="F4447" s="22"/>
      <c r="G4447" s="22"/>
    </row>
    <row r="4448" spans="1:7" x14ac:dyDescent="0.15">
      <c r="A4448" s="41" t="s">
        <v>9307</v>
      </c>
      <c r="B4448" s="25" t="s">
        <v>12159</v>
      </c>
      <c r="C4448" s="19" t="s">
        <v>12160</v>
      </c>
      <c r="D4448" s="42" t="str">
        <f>HYPERLINK("https://rmda.kulib.kyoto-u.ac.jp/item/rb00002938?page=399")</f>
        <v>https://rmda.kulib.kyoto-u.ac.jp/item/rb00002938?page=399</v>
      </c>
      <c r="E4448" s="22"/>
      <c r="F4448" s="22"/>
      <c r="G4448" s="22"/>
    </row>
    <row r="4449" spans="1:7" x14ac:dyDescent="0.15">
      <c r="A4449" s="41" t="s">
        <v>9307</v>
      </c>
      <c r="B4449" s="25" t="s">
        <v>12161</v>
      </c>
      <c r="C4449" s="19" t="s">
        <v>12162</v>
      </c>
      <c r="D4449" s="42" t="str">
        <f>HYPERLINK("https://rmda.kulib.kyoto-u.ac.jp/item/rb00002938?page=399")</f>
        <v>https://rmda.kulib.kyoto-u.ac.jp/item/rb00002938?page=399</v>
      </c>
      <c r="E4449" s="22"/>
      <c r="F4449" s="22"/>
      <c r="G4449" s="22"/>
    </row>
    <row r="4450" spans="1:7" x14ac:dyDescent="0.15">
      <c r="A4450" s="41" t="s">
        <v>9307</v>
      </c>
      <c r="B4450" s="25" t="s">
        <v>12163</v>
      </c>
      <c r="C4450" s="19" t="s">
        <v>12164</v>
      </c>
      <c r="D4450" s="42" t="str">
        <f>HYPERLINK("https://rmda.kulib.kyoto-u.ac.jp/item/rb00002938?page=399")</f>
        <v>https://rmda.kulib.kyoto-u.ac.jp/item/rb00002938?page=399</v>
      </c>
      <c r="E4450" s="22"/>
      <c r="F4450" s="22"/>
      <c r="G4450" s="22"/>
    </row>
    <row r="4451" spans="1:7" x14ac:dyDescent="0.15">
      <c r="A4451" s="41" t="s">
        <v>9307</v>
      </c>
      <c r="B4451" s="25" t="s">
        <v>12165</v>
      </c>
      <c r="C4451" s="19" t="s">
        <v>12166</v>
      </c>
      <c r="D4451" s="42" t="str">
        <f>HYPERLINK("https://rmda.kulib.kyoto-u.ac.jp/item/rb00002938?page=399")</f>
        <v>https://rmda.kulib.kyoto-u.ac.jp/item/rb00002938?page=399</v>
      </c>
      <c r="E4451" s="22"/>
      <c r="F4451" s="22"/>
      <c r="G4451" s="22"/>
    </row>
    <row r="4452" spans="1:7" x14ac:dyDescent="0.15">
      <c r="A4452" s="41" t="s">
        <v>9307</v>
      </c>
      <c r="B4452" s="25" t="s">
        <v>12167</v>
      </c>
      <c r="C4452" s="19" t="s">
        <v>12168</v>
      </c>
      <c r="D4452" s="42" t="str">
        <f>HYPERLINK("https://rmda.kulib.kyoto-u.ac.jp/item/rb00002938?page=400")</f>
        <v>https://rmda.kulib.kyoto-u.ac.jp/item/rb00002938?page=400</v>
      </c>
      <c r="E4452" s="22"/>
      <c r="F4452" s="22"/>
      <c r="G4452" s="22"/>
    </row>
    <row r="4453" spans="1:7" x14ac:dyDescent="0.15">
      <c r="A4453" s="41" t="s">
        <v>9307</v>
      </c>
      <c r="B4453" s="25" t="s">
        <v>12169</v>
      </c>
      <c r="C4453" s="19" t="s">
        <v>12170</v>
      </c>
      <c r="D4453" s="42" t="str">
        <f>HYPERLINK("https://rmda.kulib.kyoto-u.ac.jp/item/rb00002938?page=400")</f>
        <v>https://rmda.kulib.kyoto-u.ac.jp/item/rb00002938?page=400</v>
      </c>
      <c r="E4453" s="22"/>
      <c r="F4453" s="22"/>
      <c r="G4453" s="22"/>
    </row>
    <row r="4454" spans="1:7" x14ac:dyDescent="0.15">
      <c r="A4454" s="41" t="s">
        <v>9307</v>
      </c>
      <c r="B4454" s="25" t="s">
        <v>12171</v>
      </c>
      <c r="C4454" s="19" t="s">
        <v>12172</v>
      </c>
      <c r="D4454" s="42" t="str">
        <f>HYPERLINK("https://rmda.kulib.kyoto-u.ac.jp/item/rb00002938?page=400")</f>
        <v>https://rmda.kulib.kyoto-u.ac.jp/item/rb00002938?page=400</v>
      </c>
      <c r="E4454" s="22"/>
      <c r="F4454" s="22"/>
      <c r="G4454" s="22"/>
    </row>
    <row r="4455" spans="1:7" x14ac:dyDescent="0.15">
      <c r="A4455" s="41" t="s">
        <v>9307</v>
      </c>
      <c r="B4455" s="25" t="s">
        <v>12173</v>
      </c>
      <c r="C4455" s="19" t="s">
        <v>12174</v>
      </c>
      <c r="D4455" s="42" t="str">
        <f>HYPERLINK("https://rmda.kulib.kyoto-u.ac.jp/item/rb00002938?page=400")</f>
        <v>https://rmda.kulib.kyoto-u.ac.jp/item/rb00002938?page=400</v>
      </c>
      <c r="E4455" s="22"/>
      <c r="F4455" s="22"/>
      <c r="G4455" s="22"/>
    </row>
    <row r="4456" spans="1:7" x14ac:dyDescent="0.15">
      <c r="A4456" s="41" t="s">
        <v>9307</v>
      </c>
      <c r="B4456" s="25" t="s">
        <v>12175</v>
      </c>
      <c r="C4456" s="19" t="s">
        <v>12176</v>
      </c>
      <c r="D4456" s="42" t="str">
        <f t="shared" ref="D4456:D4462" si="324">HYPERLINK("https://rmda.kulib.kyoto-u.ac.jp/item/rb00002938?page=401")</f>
        <v>https://rmda.kulib.kyoto-u.ac.jp/item/rb00002938?page=401</v>
      </c>
      <c r="E4456" s="22"/>
      <c r="F4456" s="22"/>
      <c r="G4456" s="22"/>
    </row>
    <row r="4457" spans="1:7" x14ac:dyDescent="0.15">
      <c r="A4457" s="41" t="s">
        <v>9307</v>
      </c>
      <c r="B4457" s="25" t="s">
        <v>12177</v>
      </c>
      <c r="C4457" s="19" t="s">
        <v>12178</v>
      </c>
      <c r="D4457" s="42" t="str">
        <f t="shared" si="324"/>
        <v>https://rmda.kulib.kyoto-u.ac.jp/item/rb00002938?page=401</v>
      </c>
      <c r="E4457" s="22"/>
      <c r="F4457" s="22"/>
      <c r="G4457" s="22"/>
    </row>
    <row r="4458" spans="1:7" x14ac:dyDescent="0.15">
      <c r="A4458" s="41" t="s">
        <v>9307</v>
      </c>
      <c r="B4458" s="25" t="s">
        <v>12179</v>
      </c>
      <c r="C4458" s="19" t="s">
        <v>12180</v>
      </c>
      <c r="D4458" s="42" t="str">
        <f t="shared" si="324"/>
        <v>https://rmda.kulib.kyoto-u.ac.jp/item/rb00002938?page=401</v>
      </c>
      <c r="E4458" s="22"/>
      <c r="F4458" s="22"/>
      <c r="G4458" s="22"/>
    </row>
    <row r="4459" spans="1:7" x14ac:dyDescent="0.15">
      <c r="A4459" s="41" t="s">
        <v>9307</v>
      </c>
      <c r="B4459" s="25" t="s">
        <v>12181</v>
      </c>
      <c r="C4459" s="19" t="s">
        <v>12182</v>
      </c>
      <c r="D4459" s="42" t="str">
        <f t="shared" si="324"/>
        <v>https://rmda.kulib.kyoto-u.ac.jp/item/rb00002938?page=401</v>
      </c>
      <c r="E4459" s="22"/>
      <c r="F4459" s="22"/>
      <c r="G4459" s="22"/>
    </row>
    <row r="4460" spans="1:7" x14ac:dyDescent="0.15">
      <c r="A4460" s="41" t="s">
        <v>9307</v>
      </c>
      <c r="B4460" s="25" t="s">
        <v>12183</v>
      </c>
      <c r="C4460" s="19" t="s">
        <v>12184</v>
      </c>
      <c r="D4460" s="42" t="str">
        <f t="shared" si="324"/>
        <v>https://rmda.kulib.kyoto-u.ac.jp/item/rb00002938?page=401</v>
      </c>
      <c r="E4460" s="22"/>
      <c r="F4460" s="22"/>
      <c r="G4460" s="22"/>
    </row>
    <row r="4461" spans="1:7" x14ac:dyDescent="0.15">
      <c r="A4461" s="41" t="s">
        <v>9307</v>
      </c>
      <c r="B4461" s="25" t="s">
        <v>12185</v>
      </c>
      <c r="C4461" s="19" t="s">
        <v>12186</v>
      </c>
      <c r="D4461" s="42" t="str">
        <f t="shared" si="324"/>
        <v>https://rmda.kulib.kyoto-u.ac.jp/item/rb00002938?page=401</v>
      </c>
      <c r="E4461" s="22"/>
      <c r="F4461" s="22"/>
      <c r="G4461" s="22"/>
    </row>
    <row r="4462" spans="1:7" x14ac:dyDescent="0.15">
      <c r="A4462" s="41" t="s">
        <v>9307</v>
      </c>
      <c r="B4462" s="25" t="s">
        <v>12187</v>
      </c>
      <c r="C4462" s="19" t="s">
        <v>12188</v>
      </c>
      <c r="D4462" s="42" t="str">
        <f t="shared" si="324"/>
        <v>https://rmda.kulib.kyoto-u.ac.jp/item/rb00002938?page=401</v>
      </c>
      <c r="E4462" s="22"/>
      <c r="F4462" s="22"/>
      <c r="G4462" s="22"/>
    </row>
    <row r="4463" spans="1:7" x14ac:dyDescent="0.15">
      <c r="A4463" s="41" t="s">
        <v>9307</v>
      </c>
      <c r="B4463" s="25" t="s">
        <v>12189</v>
      </c>
      <c r="C4463" s="19" t="s">
        <v>12190</v>
      </c>
      <c r="D4463" s="42" t="str">
        <f t="shared" ref="D4463:D4471" si="325">HYPERLINK("https://rmda.kulib.kyoto-u.ac.jp/item/rb00002938?page=402")</f>
        <v>https://rmda.kulib.kyoto-u.ac.jp/item/rb00002938?page=402</v>
      </c>
      <c r="E4463" s="22"/>
      <c r="F4463" s="22"/>
      <c r="G4463" s="22"/>
    </row>
    <row r="4464" spans="1:7" x14ac:dyDescent="0.15">
      <c r="A4464" s="41" t="s">
        <v>9307</v>
      </c>
      <c r="B4464" s="25" t="s">
        <v>12191</v>
      </c>
      <c r="C4464" s="19" t="s">
        <v>12192</v>
      </c>
      <c r="D4464" s="42" t="str">
        <f t="shared" si="325"/>
        <v>https://rmda.kulib.kyoto-u.ac.jp/item/rb00002938?page=402</v>
      </c>
      <c r="E4464" s="22"/>
      <c r="F4464" s="22"/>
      <c r="G4464" s="22"/>
    </row>
    <row r="4465" spans="1:7" x14ac:dyDescent="0.15">
      <c r="A4465" s="41" t="s">
        <v>9307</v>
      </c>
      <c r="B4465" s="25" t="s">
        <v>12193</v>
      </c>
      <c r="C4465" s="19" t="s">
        <v>12194</v>
      </c>
      <c r="D4465" s="42" t="str">
        <f t="shared" si="325"/>
        <v>https://rmda.kulib.kyoto-u.ac.jp/item/rb00002938?page=402</v>
      </c>
      <c r="E4465" s="22"/>
      <c r="F4465" s="22"/>
      <c r="G4465" s="22"/>
    </row>
    <row r="4466" spans="1:7" x14ac:dyDescent="0.15">
      <c r="A4466" s="41" t="s">
        <v>9307</v>
      </c>
      <c r="B4466" s="25" t="s">
        <v>12195</v>
      </c>
      <c r="C4466" s="19" t="s">
        <v>12196</v>
      </c>
      <c r="D4466" s="42" t="str">
        <f t="shared" si="325"/>
        <v>https://rmda.kulib.kyoto-u.ac.jp/item/rb00002938?page=402</v>
      </c>
      <c r="E4466" s="22"/>
      <c r="F4466" s="22"/>
      <c r="G4466" s="22"/>
    </row>
    <row r="4467" spans="1:7" x14ac:dyDescent="0.15">
      <c r="A4467" s="41" t="s">
        <v>9307</v>
      </c>
      <c r="B4467" s="25" t="s">
        <v>12197</v>
      </c>
      <c r="C4467" s="19" t="s">
        <v>12198</v>
      </c>
      <c r="D4467" s="42" t="str">
        <f t="shared" si="325"/>
        <v>https://rmda.kulib.kyoto-u.ac.jp/item/rb00002938?page=402</v>
      </c>
      <c r="E4467" s="22"/>
      <c r="F4467" s="22"/>
      <c r="G4467" s="22"/>
    </row>
    <row r="4468" spans="1:7" x14ac:dyDescent="0.15">
      <c r="A4468" s="41" t="s">
        <v>9307</v>
      </c>
      <c r="B4468" s="25" t="s">
        <v>12199</v>
      </c>
      <c r="C4468" s="19" t="s">
        <v>12200</v>
      </c>
      <c r="D4468" s="42" t="str">
        <f t="shared" si="325"/>
        <v>https://rmda.kulib.kyoto-u.ac.jp/item/rb00002938?page=402</v>
      </c>
      <c r="E4468" s="22"/>
      <c r="F4468" s="22"/>
      <c r="G4468" s="22"/>
    </row>
    <row r="4469" spans="1:7" x14ac:dyDescent="0.15">
      <c r="A4469" s="41" t="s">
        <v>9307</v>
      </c>
      <c r="B4469" s="25" t="s">
        <v>12201</v>
      </c>
      <c r="C4469" s="19" t="s">
        <v>12202</v>
      </c>
      <c r="D4469" s="42" t="str">
        <f t="shared" si="325"/>
        <v>https://rmda.kulib.kyoto-u.ac.jp/item/rb00002938?page=402</v>
      </c>
      <c r="E4469" s="22"/>
      <c r="F4469" s="22"/>
      <c r="G4469" s="22"/>
    </row>
    <row r="4470" spans="1:7" x14ac:dyDescent="0.15">
      <c r="A4470" s="41" t="s">
        <v>9307</v>
      </c>
      <c r="B4470" s="25" t="s">
        <v>12203</v>
      </c>
      <c r="C4470" s="19" t="s">
        <v>12204</v>
      </c>
      <c r="D4470" s="42" t="str">
        <f t="shared" si="325"/>
        <v>https://rmda.kulib.kyoto-u.ac.jp/item/rb00002938?page=402</v>
      </c>
      <c r="E4470" s="22"/>
      <c r="F4470" s="22"/>
      <c r="G4470" s="22"/>
    </row>
    <row r="4471" spans="1:7" x14ac:dyDescent="0.15">
      <c r="A4471" s="41" t="s">
        <v>9307</v>
      </c>
      <c r="B4471" s="25" t="s">
        <v>12205</v>
      </c>
      <c r="C4471" s="19" t="s">
        <v>12206</v>
      </c>
      <c r="D4471" s="42" t="str">
        <f t="shared" si="325"/>
        <v>https://rmda.kulib.kyoto-u.ac.jp/item/rb00002938?page=402</v>
      </c>
      <c r="E4471" s="22"/>
      <c r="F4471" s="22"/>
      <c r="G4471" s="22"/>
    </row>
    <row r="4472" spans="1:7" x14ac:dyDescent="0.15">
      <c r="A4472" s="41" t="s">
        <v>9307</v>
      </c>
      <c r="B4472" s="25" t="s">
        <v>12207</v>
      </c>
      <c r="C4472" s="19" t="s">
        <v>12208</v>
      </c>
      <c r="D4472" s="42" t="str">
        <f t="shared" ref="D4472:D4480" si="326">HYPERLINK("https://rmda.kulib.kyoto-u.ac.jp/item/rb00002938?page=403")</f>
        <v>https://rmda.kulib.kyoto-u.ac.jp/item/rb00002938?page=403</v>
      </c>
      <c r="E4472" s="22"/>
      <c r="F4472" s="22"/>
      <c r="G4472" s="22"/>
    </row>
    <row r="4473" spans="1:7" x14ac:dyDescent="0.15">
      <c r="A4473" s="41" t="s">
        <v>9307</v>
      </c>
      <c r="B4473" s="25" t="s">
        <v>12209</v>
      </c>
      <c r="C4473" s="19" t="s">
        <v>12210</v>
      </c>
      <c r="D4473" s="42" t="str">
        <f t="shared" si="326"/>
        <v>https://rmda.kulib.kyoto-u.ac.jp/item/rb00002938?page=403</v>
      </c>
      <c r="E4473" s="22"/>
      <c r="F4473" s="22"/>
      <c r="G4473" s="22"/>
    </row>
    <row r="4474" spans="1:7" x14ac:dyDescent="0.15">
      <c r="A4474" s="41" t="s">
        <v>9307</v>
      </c>
      <c r="B4474" s="25" t="s">
        <v>12211</v>
      </c>
      <c r="C4474" s="19" t="s">
        <v>12212</v>
      </c>
      <c r="D4474" s="42" t="str">
        <f t="shared" si="326"/>
        <v>https://rmda.kulib.kyoto-u.ac.jp/item/rb00002938?page=403</v>
      </c>
      <c r="E4474" s="22"/>
      <c r="F4474" s="22"/>
      <c r="G4474" s="22"/>
    </row>
    <row r="4475" spans="1:7" x14ac:dyDescent="0.15">
      <c r="A4475" s="41" t="s">
        <v>9307</v>
      </c>
      <c r="B4475" s="25" t="s">
        <v>12213</v>
      </c>
      <c r="C4475" s="19" t="s">
        <v>12214</v>
      </c>
      <c r="D4475" s="42" t="str">
        <f t="shared" si="326"/>
        <v>https://rmda.kulib.kyoto-u.ac.jp/item/rb00002938?page=403</v>
      </c>
      <c r="E4475" s="22"/>
      <c r="F4475" s="22"/>
      <c r="G4475" s="22"/>
    </row>
    <row r="4476" spans="1:7" x14ac:dyDescent="0.15">
      <c r="A4476" s="41" t="s">
        <v>9307</v>
      </c>
      <c r="B4476" s="25" t="s">
        <v>12215</v>
      </c>
      <c r="C4476" s="19" t="s">
        <v>12216</v>
      </c>
      <c r="D4476" s="42" t="str">
        <f t="shared" si="326"/>
        <v>https://rmda.kulib.kyoto-u.ac.jp/item/rb00002938?page=403</v>
      </c>
      <c r="E4476" s="22"/>
      <c r="F4476" s="22"/>
      <c r="G4476" s="22"/>
    </row>
    <row r="4477" spans="1:7" x14ac:dyDescent="0.15">
      <c r="A4477" s="41" t="s">
        <v>9307</v>
      </c>
      <c r="B4477" s="25" t="s">
        <v>12217</v>
      </c>
      <c r="C4477" s="19" t="s">
        <v>12218</v>
      </c>
      <c r="D4477" s="42" t="str">
        <f t="shared" si="326"/>
        <v>https://rmda.kulib.kyoto-u.ac.jp/item/rb00002938?page=403</v>
      </c>
      <c r="E4477" s="22"/>
      <c r="F4477" s="22"/>
      <c r="G4477" s="22"/>
    </row>
    <row r="4478" spans="1:7" x14ac:dyDescent="0.15">
      <c r="A4478" s="41" t="s">
        <v>9307</v>
      </c>
      <c r="B4478" s="25" t="s">
        <v>12219</v>
      </c>
      <c r="C4478" s="19" t="s">
        <v>12220</v>
      </c>
      <c r="D4478" s="42" t="str">
        <f t="shared" si="326"/>
        <v>https://rmda.kulib.kyoto-u.ac.jp/item/rb00002938?page=403</v>
      </c>
      <c r="E4478" s="22"/>
      <c r="F4478" s="22"/>
      <c r="G4478" s="22"/>
    </row>
    <row r="4479" spans="1:7" x14ac:dyDescent="0.15">
      <c r="A4479" s="41" t="s">
        <v>9307</v>
      </c>
      <c r="B4479" s="25" t="s">
        <v>12221</v>
      </c>
      <c r="C4479" s="19" t="s">
        <v>12222</v>
      </c>
      <c r="D4479" s="42" t="str">
        <f t="shared" si="326"/>
        <v>https://rmda.kulib.kyoto-u.ac.jp/item/rb00002938?page=403</v>
      </c>
      <c r="E4479" s="22"/>
      <c r="F4479" s="22"/>
      <c r="G4479" s="22"/>
    </row>
    <row r="4480" spans="1:7" x14ac:dyDescent="0.15">
      <c r="A4480" s="41" t="s">
        <v>9307</v>
      </c>
      <c r="B4480" s="25" t="s">
        <v>12223</v>
      </c>
      <c r="C4480" s="19" t="s">
        <v>12224</v>
      </c>
      <c r="D4480" s="42" t="str">
        <f t="shared" si="326"/>
        <v>https://rmda.kulib.kyoto-u.ac.jp/item/rb00002938?page=403</v>
      </c>
      <c r="E4480" s="22"/>
      <c r="F4480" s="22"/>
      <c r="G4480" s="22"/>
    </row>
    <row r="4481" spans="1:7" x14ac:dyDescent="0.15">
      <c r="A4481" s="41" t="s">
        <v>9307</v>
      </c>
      <c r="B4481" s="25" t="s">
        <v>12225</v>
      </c>
      <c r="C4481" s="19" t="s">
        <v>12226</v>
      </c>
      <c r="D4481" s="42" t="str">
        <f>HYPERLINK("https://rmda.kulib.kyoto-u.ac.jp/item/rb00002938?page=405")</f>
        <v>https://rmda.kulib.kyoto-u.ac.jp/item/rb00002938?page=405</v>
      </c>
      <c r="E4481" s="22"/>
      <c r="F4481" s="22"/>
      <c r="G4481" s="22"/>
    </row>
    <row r="4482" spans="1:7" x14ac:dyDescent="0.15">
      <c r="A4482" s="41" t="s">
        <v>9307</v>
      </c>
      <c r="B4482" s="25" t="s">
        <v>12227</v>
      </c>
      <c r="C4482" s="19" t="s">
        <v>12228</v>
      </c>
      <c r="D4482" s="42" t="str">
        <f>HYPERLINK("https://rmda.kulib.kyoto-u.ac.jp/item/rb00002938?page=405")</f>
        <v>https://rmda.kulib.kyoto-u.ac.jp/item/rb00002938?page=405</v>
      </c>
      <c r="E4482" s="22"/>
      <c r="F4482" s="22"/>
      <c r="G4482" s="22"/>
    </row>
    <row r="4483" spans="1:7" x14ac:dyDescent="0.15">
      <c r="A4483" s="41" t="s">
        <v>9307</v>
      </c>
      <c r="B4483" s="25" t="s">
        <v>12229</v>
      </c>
      <c r="C4483" s="19" t="s">
        <v>12230</v>
      </c>
      <c r="D4483" s="42" t="str">
        <f>HYPERLINK("https://rmda.kulib.kyoto-u.ac.jp/item/rb00002938?page=405")</f>
        <v>https://rmda.kulib.kyoto-u.ac.jp/item/rb00002938?page=405</v>
      </c>
      <c r="E4483" s="22"/>
      <c r="F4483" s="22"/>
      <c r="G4483" s="22"/>
    </row>
    <row r="4484" spans="1:7" x14ac:dyDescent="0.15">
      <c r="A4484" s="41" t="s">
        <v>9307</v>
      </c>
      <c r="B4484" s="25" t="s">
        <v>12231</v>
      </c>
      <c r="C4484" s="19" t="s">
        <v>12232</v>
      </c>
      <c r="D4484" s="42" t="str">
        <f>HYPERLINK("https://rmda.kulib.kyoto-u.ac.jp/item/rb00002938?page=405")</f>
        <v>https://rmda.kulib.kyoto-u.ac.jp/item/rb00002938?page=405</v>
      </c>
      <c r="E4484" s="22"/>
      <c r="F4484" s="22"/>
      <c r="G4484" s="22"/>
    </row>
    <row r="4485" spans="1:7" x14ac:dyDescent="0.15">
      <c r="A4485" s="41" t="s">
        <v>9307</v>
      </c>
      <c r="B4485" s="25" t="s">
        <v>12233</v>
      </c>
      <c r="C4485" s="19" t="s">
        <v>12234</v>
      </c>
      <c r="D4485" s="42" t="str">
        <f t="shared" ref="D4485:D4491" si="327">HYPERLINK("https://rmda.kulib.kyoto-u.ac.jp/item/rb00002938?page=406")</f>
        <v>https://rmda.kulib.kyoto-u.ac.jp/item/rb00002938?page=406</v>
      </c>
      <c r="E4485" s="22"/>
      <c r="F4485" s="22"/>
      <c r="G4485" s="22"/>
    </row>
    <row r="4486" spans="1:7" x14ac:dyDescent="0.15">
      <c r="A4486" s="41" t="s">
        <v>9307</v>
      </c>
      <c r="B4486" s="25" t="s">
        <v>12235</v>
      </c>
      <c r="C4486" s="19" t="s">
        <v>12236</v>
      </c>
      <c r="D4486" s="42" t="str">
        <f t="shared" si="327"/>
        <v>https://rmda.kulib.kyoto-u.ac.jp/item/rb00002938?page=406</v>
      </c>
      <c r="E4486" s="22"/>
      <c r="F4486" s="22"/>
      <c r="G4486" s="22"/>
    </row>
    <row r="4487" spans="1:7" x14ac:dyDescent="0.15">
      <c r="A4487" s="41" t="s">
        <v>9307</v>
      </c>
      <c r="B4487" s="25" t="s">
        <v>12237</v>
      </c>
      <c r="C4487" s="19" t="s">
        <v>12238</v>
      </c>
      <c r="D4487" s="42" t="str">
        <f t="shared" si="327"/>
        <v>https://rmda.kulib.kyoto-u.ac.jp/item/rb00002938?page=406</v>
      </c>
      <c r="E4487" s="22"/>
      <c r="F4487" s="22"/>
      <c r="G4487" s="22"/>
    </row>
    <row r="4488" spans="1:7" x14ac:dyDescent="0.15">
      <c r="A4488" s="41" t="s">
        <v>9307</v>
      </c>
      <c r="B4488" s="25" t="s">
        <v>12239</v>
      </c>
      <c r="C4488" s="19" t="s">
        <v>12240</v>
      </c>
      <c r="D4488" s="42" t="str">
        <f t="shared" si="327"/>
        <v>https://rmda.kulib.kyoto-u.ac.jp/item/rb00002938?page=406</v>
      </c>
      <c r="E4488" s="22"/>
      <c r="F4488" s="22"/>
      <c r="G4488" s="22"/>
    </row>
    <row r="4489" spans="1:7" x14ac:dyDescent="0.15">
      <c r="A4489" s="41" t="s">
        <v>9307</v>
      </c>
      <c r="B4489" s="25" t="s">
        <v>12241</v>
      </c>
      <c r="C4489" s="19" t="s">
        <v>12242</v>
      </c>
      <c r="D4489" s="42" t="str">
        <f t="shared" si="327"/>
        <v>https://rmda.kulib.kyoto-u.ac.jp/item/rb00002938?page=406</v>
      </c>
      <c r="E4489" s="22"/>
      <c r="F4489" s="22"/>
      <c r="G4489" s="22"/>
    </row>
    <row r="4490" spans="1:7" x14ac:dyDescent="0.15">
      <c r="A4490" s="41" t="s">
        <v>9307</v>
      </c>
      <c r="B4490" s="25" t="s">
        <v>12243</v>
      </c>
      <c r="C4490" s="19" t="s">
        <v>12244</v>
      </c>
      <c r="D4490" s="42" t="str">
        <f t="shared" si="327"/>
        <v>https://rmda.kulib.kyoto-u.ac.jp/item/rb00002938?page=406</v>
      </c>
      <c r="E4490" s="22"/>
      <c r="F4490" s="22"/>
      <c r="G4490" s="22"/>
    </row>
    <row r="4491" spans="1:7" x14ac:dyDescent="0.15">
      <c r="A4491" s="41" t="s">
        <v>9307</v>
      </c>
      <c r="B4491" s="25" t="s">
        <v>12245</v>
      </c>
      <c r="C4491" s="19" t="s">
        <v>12246</v>
      </c>
      <c r="D4491" s="42" t="str">
        <f t="shared" si="327"/>
        <v>https://rmda.kulib.kyoto-u.ac.jp/item/rb00002938?page=406</v>
      </c>
      <c r="E4491" s="22"/>
      <c r="F4491" s="22"/>
      <c r="G4491" s="22"/>
    </row>
    <row r="4492" spans="1:7" x14ac:dyDescent="0.15">
      <c r="A4492" s="41" t="s">
        <v>9307</v>
      </c>
      <c r="B4492" s="25" t="s">
        <v>12247</v>
      </c>
      <c r="C4492" s="19" t="s">
        <v>12248</v>
      </c>
      <c r="D4492" s="42" t="str">
        <f>HYPERLINK("https://rmda.kulib.kyoto-u.ac.jp/item/rb00002938?page=407")</f>
        <v>https://rmda.kulib.kyoto-u.ac.jp/item/rb00002938?page=407</v>
      </c>
      <c r="E4492" s="22"/>
      <c r="F4492" s="22"/>
      <c r="G4492" s="22"/>
    </row>
    <row r="4493" spans="1:7" x14ac:dyDescent="0.15">
      <c r="A4493" s="41" t="s">
        <v>9307</v>
      </c>
      <c r="B4493" s="25" t="s">
        <v>12249</v>
      </c>
      <c r="C4493" s="19" t="s">
        <v>12250</v>
      </c>
      <c r="D4493" s="42" t="str">
        <f>HYPERLINK("https://rmda.kulib.kyoto-u.ac.jp/item/rb00002938?page=407")</f>
        <v>https://rmda.kulib.kyoto-u.ac.jp/item/rb00002938?page=407</v>
      </c>
      <c r="E4493" s="22"/>
      <c r="F4493" s="22"/>
      <c r="G4493" s="22"/>
    </row>
    <row r="4494" spans="1:7" x14ac:dyDescent="0.15">
      <c r="A4494" s="41" t="s">
        <v>9307</v>
      </c>
      <c r="B4494" s="25" t="s">
        <v>12251</v>
      </c>
      <c r="C4494" s="19" t="s">
        <v>12252</v>
      </c>
      <c r="D4494" s="42" t="str">
        <f>HYPERLINK("https://rmda.kulib.kyoto-u.ac.jp/item/rb00002938?page=407")</f>
        <v>https://rmda.kulib.kyoto-u.ac.jp/item/rb00002938?page=407</v>
      </c>
      <c r="E4494" s="22"/>
      <c r="F4494" s="22"/>
      <c r="G4494" s="22"/>
    </row>
    <row r="4495" spans="1:7" x14ac:dyDescent="0.15">
      <c r="A4495" s="41" t="s">
        <v>9307</v>
      </c>
      <c r="B4495" s="25" t="s">
        <v>12253</v>
      </c>
      <c r="C4495" s="19" t="s">
        <v>12254</v>
      </c>
      <c r="D4495" s="42" t="str">
        <f>HYPERLINK("https://rmda.kulib.kyoto-u.ac.jp/item/rb00002938?page=409")</f>
        <v>https://rmda.kulib.kyoto-u.ac.jp/item/rb00002938?page=409</v>
      </c>
      <c r="E4495" s="22"/>
      <c r="F4495" s="22"/>
      <c r="G4495" s="22"/>
    </row>
    <row r="4496" spans="1:7" x14ac:dyDescent="0.15">
      <c r="A4496" s="41" t="s">
        <v>9307</v>
      </c>
      <c r="B4496" s="25" t="s">
        <v>12255</v>
      </c>
      <c r="C4496" s="19" t="s">
        <v>12256</v>
      </c>
      <c r="D4496" s="42" t="str">
        <f>HYPERLINK("https://rmda.kulib.kyoto-u.ac.jp/item/rb00002938?page=410")</f>
        <v>https://rmda.kulib.kyoto-u.ac.jp/item/rb00002938?page=410</v>
      </c>
      <c r="E4496" s="22"/>
      <c r="F4496" s="22"/>
      <c r="G4496" s="22"/>
    </row>
    <row r="4497" spans="1:7" x14ac:dyDescent="0.15">
      <c r="A4497" s="41" t="s">
        <v>9307</v>
      </c>
      <c r="B4497" s="25" t="s">
        <v>12257</v>
      </c>
      <c r="C4497" s="19" t="s">
        <v>12258</v>
      </c>
      <c r="D4497" s="42" t="str">
        <f>HYPERLINK("https://rmda.kulib.kyoto-u.ac.jp/item/rb00002938?page=410")</f>
        <v>https://rmda.kulib.kyoto-u.ac.jp/item/rb00002938?page=410</v>
      </c>
      <c r="E4497" s="22"/>
      <c r="F4497" s="22"/>
      <c r="G4497" s="22"/>
    </row>
    <row r="4498" spans="1:7" x14ac:dyDescent="0.15">
      <c r="A4498" s="41" t="s">
        <v>9307</v>
      </c>
      <c r="B4498" s="25" t="s">
        <v>12259</v>
      </c>
      <c r="C4498" s="19" t="s">
        <v>12260</v>
      </c>
      <c r="D4498" s="42" t="str">
        <f>HYPERLINK("https://rmda.kulib.kyoto-u.ac.jp/item/rb00002938?page=411")</f>
        <v>https://rmda.kulib.kyoto-u.ac.jp/item/rb00002938?page=411</v>
      </c>
      <c r="E4498" s="22"/>
      <c r="F4498" s="22"/>
      <c r="G4498" s="22"/>
    </row>
    <row r="4499" spans="1:7" x14ac:dyDescent="0.15">
      <c r="A4499" s="41" t="s">
        <v>9307</v>
      </c>
      <c r="B4499" s="25" t="s">
        <v>12261</v>
      </c>
      <c r="C4499" s="19" t="s">
        <v>12262</v>
      </c>
      <c r="D4499" s="42" t="str">
        <f>HYPERLINK("https://rmda.kulib.kyoto-u.ac.jp/item/rb00002938?page=411")</f>
        <v>https://rmda.kulib.kyoto-u.ac.jp/item/rb00002938?page=411</v>
      </c>
      <c r="E4499" s="22"/>
      <c r="F4499" s="22"/>
      <c r="G4499" s="22"/>
    </row>
    <row r="4500" spans="1:7" x14ac:dyDescent="0.15">
      <c r="A4500" s="41" t="s">
        <v>9307</v>
      </c>
      <c r="B4500" s="25" t="s">
        <v>12263</v>
      </c>
      <c r="C4500" s="19" t="s">
        <v>12264</v>
      </c>
      <c r="D4500" s="42" t="str">
        <f>HYPERLINK("https://rmda.kulib.kyoto-u.ac.jp/item/rb00002938?page=411")</f>
        <v>https://rmda.kulib.kyoto-u.ac.jp/item/rb00002938?page=411</v>
      </c>
      <c r="E4500" s="22"/>
      <c r="F4500" s="22"/>
      <c r="G4500" s="22"/>
    </row>
    <row r="4501" spans="1:7" ht="27" x14ac:dyDescent="0.15">
      <c r="A4501" s="41" t="s">
        <v>9307</v>
      </c>
      <c r="B4501" s="25" t="s">
        <v>12265</v>
      </c>
      <c r="C4501" s="19" t="s">
        <v>12266</v>
      </c>
      <c r="D4501" s="42" t="str">
        <f>HYPERLINK("https://rmda.kulib.kyoto-u.ac.jp/item/rb00002938?page=411")</f>
        <v>https://rmda.kulib.kyoto-u.ac.jp/item/rb00002938?page=411</v>
      </c>
      <c r="E4501" s="22"/>
      <c r="F4501" s="22"/>
      <c r="G4501" s="22"/>
    </row>
    <row r="4502" spans="1:7" ht="27" x14ac:dyDescent="0.15">
      <c r="A4502" s="41" t="s">
        <v>9307</v>
      </c>
      <c r="B4502" s="25" t="s">
        <v>12267</v>
      </c>
      <c r="C4502" s="19" t="s">
        <v>12268</v>
      </c>
      <c r="D4502" s="42" t="str">
        <f>HYPERLINK("https://rmda.kulib.kyoto-u.ac.jp/item/rb00002938?page=412")</f>
        <v>https://rmda.kulib.kyoto-u.ac.jp/item/rb00002938?page=412</v>
      </c>
      <c r="E4502" s="22"/>
      <c r="F4502" s="22"/>
      <c r="G4502" s="22"/>
    </row>
    <row r="4503" spans="1:7" x14ac:dyDescent="0.15">
      <c r="A4503" s="41" t="s">
        <v>9307</v>
      </c>
      <c r="B4503" s="25" t="s">
        <v>12269</v>
      </c>
      <c r="C4503" s="19" t="s">
        <v>12270</v>
      </c>
      <c r="D4503" s="42" t="str">
        <f>HYPERLINK("https://rmda.kulib.kyoto-u.ac.jp/item/rb00002938?page=412")</f>
        <v>https://rmda.kulib.kyoto-u.ac.jp/item/rb00002938?page=412</v>
      </c>
      <c r="E4503" s="22"/>
      <c r="F4503" s="22"/>
      <c r="G4503" s="22"/>
    </row>
    <row r="4504" spans="1:7" x14ac:dyDescent="0.15">
      <c r="A4504" s="41" t="s">
        <v>9307</v>
      </c>
      <c r="B4504" s="25" t="s">
        <v>12271</v>
      </c>
      <c r="C4504" s="19" t="s">
        <v>12272</v>
      </c>
      <c r="D4504" s="42" t="str">
        <f>HYPERLINK("https://rmda.kulib.kyoto-u.ac.jp/item/rb00002938?page=412")</f>
        <v>https://rmda.kulib.kyoto-u.ac.jp/item/rb00002938?page=412</v>
      </c>
      <c r="E4504" s="22"/>
      <c r="F4504" s="22"/>
      <c r="G4504" s="22"/>
    </row>
    <row r="4505" spans="1:7" x14ac:dyDescent="0.15">
      <c r="A4505" s="41" t="s">
        <v>9307</v>
      </c>
      <c r="B4505" s="25" t="s">
        <v>12273</v>
      </c>
      <c r="C4505" s="19" t="s">
        <v>12274</v>
      </c>
      <c r="D4505" s="42" t="str">
        <f>HYPERLINK("https://rmda.kulib.kyoto-u.ac.jp/item/rb00002938?page=413")</f>
        <v>https://rmda.kulib.kyoto-u.ac.jp/item/rb00002938?page=413</v>
      </c>
      <c r="E4505" s="22"/>
      <c r="F4505" s="22"/>
      <c r="G4505" s="22"/>
    </row>
    <row r="4506" spans="1:7" x14ac:dyDescent="0.15">
      <c r="A4506" s="41" t="s">
        <v>9307</v>
      </c>
      <c r="B4506" s="25" t="s">
        <v>9667</v>
      </c>
      <c r="C4506" s="19" t="s">
        <v>12275</v>
      </c>
      <c r="D4506" s="42" t="str">
        <f>HYPERLINK("https://rmda.kulib.kyoto-u.ac.jp/item/rb00002938?page=413")</f>
        <v>https://rmda.kulib.kyoto-u.ac.jp/item/rb00002938?page=413</v>
      </c>
      <c r="E4506" s="22"/>
      <c r="F4506" s="22"/>
      <c r="G4506" s="22"/>
    </row>
    <row r="4507" spans="1:7" x14ac:dyDescent="0.15">
      <c r="A4507" s="41" t="s">
        <v>9307</v>
      </c>
      <c r="B4507" s="25" t="s">
        <v>12276</v>
      </c>
      <c r="C4507" s="19" t="s">
        <v>12277</v>
      </c>
      <c r="D4507" s="42" t="str">
        <f>HYPERLINK("https://rmda.kulib.kyoto-u.ac.jp/item/rb00002938?page=413")</f>
        <v>https://rmda.kulib.kyoto-u.ac.jp/item/rb00002938?page=413</v>
      </c>
      <c r="E4507" s="22"/>
      <c r="F4507" s="22"/>
      <c r="G4507" s="22"/>
    </row>
    <row r="4508" spans="1:7" x14ac:dyDescent="0.15">
      <c r="A4508" s="41" t="s">
        <v>9307</v>
      </c>
      <c r="B4508" s="25" t="s">
        <v>12278</v>
      </c>
      <c r="C4508" s="19" t="s">
        <v>12279</v>
      </c>
      <c r="D4508" s="42" t="str">
        <f>HYPERLINK("https://rmda.kulib.kyoto-u.ac.jp/item/rb00002938?page=414")</f>
        <v>https://rmda.kulib.kyoto-u.ac.jp/item/rb00002938?page=414</v>
      </c>
      <c r="E4508" s="22"/>
      <c r="F4508" s="22"/>
      <c r="G4508" s="22"/>
    </row>
    <row r="4509" spans="1:7" x14ac:dyDescent="0.15">
      <c r="A4509" s="41" t="s">
        <v>9307</v>
      </c>
      <c r="B4509" s="25" t="s">
        <v>12280</v>
      </c>
      <c r="C4509" s="19" t="s">
        <v>12281</v>
      </c>
      <c r="D4509" s="42" t="str">
        <f>HYPERLINK("https://rmda.kulib.kyoto-u.ac.jp/item/rb00002938?page=414")</f>
        <v>https://rmda.kulib.kyoto-u.ac.jp/item/rb00002938?page=414</v>
      </c>
      <c r="E4509" s="22"/>
      <c r="F4509" s="22"/>
      <c r="G4509" s="22"/>
    </row>
    <row r="4510" spans="1:7" x14ac:dyDescent="0.15">
      <c r="A4510" s="41" t="s">
        <v>9307</v>
      </c>
      <c r="B4510" s="25" t="s">
        <v>12282</v>
      </c>
      <c r="C4510" s="19" t="s">
        <v>12283</v>
      </c>
      <c r="D4510" s="42" t="str">
        <f>HYPERLINK("https://rmda.kulib.kyoto-u.ac.jp/item/rb00002938?page=414")</f>
        <v>https://rmda.kulib.kyoto-u.ac.jp/item/rb00002938?page=414</v>
      </c>
      <c r="E4510" s="22"/>
      <c r="F4510" s="22"/>
      <c r="G4510" s="22"/>
    </row>
    <row r="4511" spans="1:7" x14ac:dyDescent="0.15">
      <c r="A4511" s="41" t="s">
        <v>9307</v>
      </c>
      <c r="B4511" s="25" t="s">
        <v>12284</v>
      </c>
      <c r="C4511" s="19" t="s">
        <v>12285</v>
      </c>
      <c r="D4511" s="42" t="str">
        <f>HYPERLINK("https://rmda.kulib.kyoto-u.ac.jp/item/rb00002938?page=414")</f>
        <v>https://rmda.kulib.kyoto-u.ac.jp/item/rb00002938?page=414</v>
      </c>
      <c r="E4511" s="22"/>
      <c r="F4511" s="22"/>
      <c r="G4511" s="22"/>
    </row>
    <row r="4512" spans="1:7" x14ac:dyDescent="0.15">
      <c r="A4512" s="41" t="s">
        <v>9307</v>
      </c>
      <c r="B4512" s="25" t="s">
        <v>9693</v>
      </c>
      <c r="C4512" s="19" t="s">
        <v>12286</v>
      </c>
      <c r="D4512" s="42" t="str">
        <f>HYPERLINK("https://rmda.kulib.kyoto-u.ac.jp/item/rb00002938?page=414")</f>
        <v>https://rmda.kulib.kyoto-u.ac.jp/item/rb00002938?page=414</v>
      </c>
      <c r="E4512" s="22"/>
      <c r="F4512" s="22"/>
      <c r="G4512" s="22"/>
    </row>
    <row r="4513" spans="1:7" x14ac:dyDescent="0.15">
      <c r="A4513" s="41" t="s">
        <v>9307</v>
      </c>
      <c r="B4513" s="25" t="s">
        <v>12287</v>
      </c>
      <c r="C4513" s="19" t="s">
        <v>12288</v>
      </c>
      <c r="D4513" s="42" t="str">
        <f>HYPERLINK("https://rmda.kulib.kyoto-u.ac.jp/item/rb00002938?page=415")</f>
        <v>https://rmda.kulib.kyoto-u.ac.jp/item/rb00002938?page=415</v>
      </c>
      <c r="E4513" s="22"/>
      <c r="F4513" s="22"/>
      <c r="G4513" s="22"/>
    </row>
    <row r="4514" spans="1:7" x14ac:dyDescent="0.15">
      <c r="A4514" s="41" t="s">
        <v>9307</v>
      </c>
      <c r="B4514" s="25" t="s">
        <v>12289</v>
      </c>
      <c r="C4514" s="19" t="s">
        <v>12290</v>
      </c>
      <c r="D4514" s="42" t="str">
        <f>HYPERLINK("https://rmda.kulib.kyoto-u.ac.jp/item/rb00002938?page=415")</f>
        <v>https://rmda.kulib.kyoto-u.ac.jp/item/rb00002938?page=415</v>
      </c>
      <c r="E4514" s="22"/>
      <c r="F4514" s="22"/>
      <c r="G4514" s="22"/>
    </row>
    <row r="4515" spans="1:7" x14ac:dyDescent="0.15">
      <c r="A4515" s="41" t="s">
        <v>9307</v>
      </c>
      <c r="B4515" s="25" t="s">
        <v>12291</v>
      </c>
      <c r="C4515" s="19" t="s">
        <v>12292</v>
      </c>
      <c r="D4515" s="42" t="str">
        <f>HYPERLINK("https://rmda.kulib.kyoto-u.ac.jp/item/rb00002938?page=415")</f>
        <v>https://rmda.kulib.kyoto-u.ac.jp/item/rb00002938?page=415</v>
      </c>
      <c r="E4515" s="22"/>
      <c r="F4515" s="22"/>
      <c r="G4515" s="22"/>
    </row>
    <row r="4516" spans="1:7" x14ac:dyDescent="0.15">
      <c r="A4516" s="41" t="s">
        <v>9307</v>
      </c>
      <c r="B4516" s="25" t="s">
        <v>12293</v>
      </c>
      <c r="C4516" s="19" t="s">
        <v>12294</v>
      </c>
      <c r="D4516" s="42" t="str">
        <f>HYPERLINK("https://rmda.kulib.kyoto-u.ac.jp/item/rb00002938?page=415")</f>
        <v>https://rmda.kulib.kyoto-u.ac.jp/item/rb00002938?page=415</v>
      </c>
      <c r="E4516" s="22"/>
      <c r="F4516" s="22"/>
      <c r="G4516" s="22"/>
    </row>
    <row r="4517" spans="1:7" x14ac:dyDescent="0.15">
      <c r="A4517" s="41" t="s">
        <v>9307</v>
      </c>
      <c r="B4517" s="25" t="s">
        <v>12295</v>
      </c>
      <c r="C4517" s="19" t="s">
        <v>12296</v>
      </c>
      <c r="D4517" s="42" t="str">
        <f>HYPERLINK("https://rmda.kulib.kyoto-u.ac.jp/item/rb00002938?page=415")</f>
        <v>https://rmda.kulib.kyoto-u.ac.jp/item/rb00002938?page=415</v>
      </c>
      <c r="E4517" s="22"/>
      <c r="F4517" s="22"/>
      <c r="G4517" s="22"/>
    </row>
    <row r="4518" spans="1:7" x14ac:dyDescent="0.15">
      <c r="A4518" s="41" t="s">
        <v>9307</v>
      </c>
      <c r="B4518" s="25" t="s">
        <v>12297</v>
      </c>
      <c r="C4518" s="19" t="s">
        <v>12298</v>
      </c>
      <c r="D4518" s="42" t="str">
        <f>HYPERLINK("https://rmda.kulib.kyoto-u.ac.jp/item/rb00002938?page=416")</f>
        <v>https://rmda.kulib.kyoto-u.ac.jp/item/rb00002938?page=416</v>
      </c>
      <c r="E4518" s="22"/>
      <c r="F4518" s="22"/>
      <c r="G4518" s="22"/>
    </row>
    <row r="4519" spans="1:7" x14ac:dyDescent="0.15">
      <c r="A4519" s="41" t="s">
        <v>9307</v>
      </c>
      <c r="B4519" s="25" t="s">
        <v>12299</v>
      </c>
      <c r="C4519" s="19" t="s">
        <v>12300</v>
      </c>
      <c r="D4519" s="42" t="str">
        <f>HYPERLINK("https://rmda.kulib.kyoto-u.ac.jp/item/rb00002938?page=416")</f>
        <v>https://rmda.kulib.kyoto-u.ac.jp/item/rb00002938?page=416</v>
      </c>
      <c r="E4519" s="22"/>
      <c r="F4519" s="22"/>
      <c r="G4519" s="22"/>
    </row>
    <row r="4520" spans="1:7" x14ac:dyDescent="0.15">
      <c r="A4520" s="41" t="s">
        <v>9307</v>
      </c>
      <c r="B4520" s="25" t="s">
        <v>12301</v>
      </c>
      <c r="C4520" s="19" t="s">
        <v>12302</v>
      </c>
      <c r="D4520" s="42" t="str">
        <f>HYPERLINK("https://rmda.kulib.kyoto-u.ac.jp/item/rb00002938?page=416")</f>
        <v>https://rmda.kulib.kyoto-u.ac.jp/item/rb00002938?page=416</v>
      </c>
      <c r="E4520" s="22"/>
      <c r="F4520" s="22"/>
      <c r="G4520" s="22"/>
    </row>
    <row r="4521" spans="1:7" x14ac:dyDescent="0.15">
      <c r="A4521" s="41" t="s">
        <v>9307</v>
      </c>
      <c r="B4521" s="25" t="s">
        <v>12303</v>
      </c>
      <c r="C4521" s="19" t="s">
        <v>12304</v>
      </c>
      <c r="D4521" s="42" t="str">
        <f>HYPERLINK("https://rmda.kulib.kyoto-u.ac.jp/item/rb00002938?page=416")</f>
        <v>https://rmda.kulib.kyoto-u.ac.jp/item/rb00002938?page=416</v>
      </c>
      <c r="E4521" s="22"/>
      <c r="F4521" s="22"/>
      <c r="G4521" s="22"/>
    </row>
    <row r="4522" spans="1:7" x14ac:dyDescent="0.15">
      <c r="A4522" s="41" t="s">
        <v>9307</v>
      </c>
      <c r="B4522" s="25" t="s">
        <v>12305</v>
      </c>
      <c r="C4522" s="19" t="s">
        <v>12306</v>
      </c>
      <c r="D4522" s="42" t="str">
        <f>HYPERLINK("https://rmda.kulib.kyoto-u.ac.jp/item/rb00002938?page=416")</f>
        <v>https://rmda.kulib.kyoto-u.ac.jp/item/rb00002938?page=416</v>
      </c>
      <c r="E4522" s="22"/>
      <c r="F4522" s="22"/>
      <c r="G4522" s="22"/>
    </row>
    <row r="4523" spans="1:7" x14ac:dyDescent="0.15">
      <c r="A4523" s="41" t="s">
        <v>9307</v>
      </c>
      <c r="B4523" s="25" t="s">
        <v>6769</v>
      </c>
      <c r="C4523" s="19"/>
      <c r="D4523" s="42" t="str">
        <f>HYPERLINK("https://rmda.kulib.kyoto-u.ac.jp/item/rb00002938?page=420")</f>
        <v>https://rmda.kulib.kyoto-u.ac.jp/item/rb00002938?page=420</v>
      </c>
      <c r="E4523" s="22"/>
      <c r="F4523" s="22"/>
      <c r="G4523" s="22"/>
    </row>
    <row r="4524" spans="1:7" x14ac:dyDescent="0.15">
      <c r="A4524" s="41" t="s">
        <v>9307</v>
      </c>
      <c r="B4524" s="25" t="s">
        <v>12307</v>
      </c>
      <c r="C4524" s="19" t="s">
        <v>12308</v>
      </c>
      <c r="D4524" s="42" t="str">
        <f>HYPERLINK("https://rmda.kulib.kyoto-u.ac.jp/item/rb00002938?page=429")</f>
        <v>https://rmda.kulib.kyoto-u.ac.jp/item/rb00002938?page=429</v>
      </c>
      <c r="E4524" s="22"/>
      <c r="F4524" s="22"/>
      <c r="G4524" s="22"/>
    </row>
    <row r="4525" spans="1:7" x14ac:dyDescent="0.15">
      <c r="A4525" s="41" t="s">
        <v>9307</v>
      </c>
      <c r="B4525" s="25" t="s">
        <v>12309</v>
      </c>
      <c r="C4525" s="19" t="s">
        <v>12310</v>
      </c>
      <c r="D4525" s="42" t="str">
        <f>HYPERLINK("https://rmda.kulib.kyoto-u.ac.jp/item/rb00002938?page=429")</f>
        <v>https://rmda.kulib.kyoto-u.ac.jp/item/rb00002938?page=429</v>
      </c>
      <c r="E4525" s="22"/>
      <c r="F4525" s="22"/>
      <c r="G4525" s="22"/>
    </row>
    <row r="4526" spans="1:7" x14ac:dyDescent="0.15">
      <c r="A4526" s="41" t="s">
        <v>9307</v>
      </c>
      <c r="B4526" s="25" t="s">
        <v>12311</v>
      </c>
      <c r="C4526" s="19" t="s">
        <v>12312</v>
      </c>
      <c r="D4526" s="42" t="str">
        <f>HYPERLINK("https://rmda.kulib.kyoto-u.ac.jp/item/rb00002938?page=429")</f>
        <v>https://rmda.kulib.kyoto-u.ac.jp/item/rb00002938?page=429</v>
      </c>
      <c r="E4526" s="22"/>
      <c r="F4526" s="22"/>
      <c r="G4526" s="22"/>
    </row>
    <row r="4527" spans="1:7" x14ac:dyDescent="0.15">
      <c r="A4527" s="41" t="s">
        <v>9307</v>
      </c>
      <c r="B4527" s="25" t="s">
        <v>12313</v>
      </c>
      <c r="C4527" s="19" t="s">
        <v>12314</v>
      </c>
      <c r="D4527" s="42" t="str">
        <f>HYPERLINK("https://rmda.kulib.kyoto-u.ac.jp/item/rb00002938?page=430")</f>
        <v>https://rmda.kulib.kyoto-u.ac.jp/item/rb00002938?page=430</v>
      </c>
      <c r="E4527" s="22"/>
      <c r="F4527" s="22"/>
      <c r="G4527" s="22"/>
    </row>
    <row r="4528" spans="1:7" x14ac:dyDescent="0.15">
      <c r="A4528" s="41" t="s">
        <v>9307</v>
      </c>
      <c r="B4528" s="25" t="s">
        <v>12315</v>
      </c>
      <c r="C4528" s="19" t="s">
        <v>12316</v>
      </c>
      <c r="D4528" s="42" t="str">
        <f>HYPERLINK("https://rmda.kulib.kyoto-u.ac.jp/item/rb00002938?page=430")</f>
        <v>https://rmda.kulib.kyoto-u.ac.jp/item/rb00002938?page=430</v>
      </c>
      <c r="E4528" s="22"/>
      <c r="F4528" s="22"/>
      <c r="G4528" s="22"/>
    </row>
    <row r="4529" spans="1:7" x14ac:dyDescent="0.15">
      <c r="A4529" s="41" t="s">
        <v>9307</v>
      </c>
      <c r="B4529" s="25" t="s">
        <v>12317</v>
      </c>
      <c r="C4529" s="19" t="s">
        <v>12318</v>
      </c>
      <c r="D4529" s="42" t="str">
        <f>HYPERLINK("https://rmda.kulib.kyoto-u.ac.jp/item/rb00002938?page=430")</f>
        <v>https://rmda.kulib.kyoto-u.ac.jp/item/rb00002938?page=430</v>
      </c>
      <c r="E4529" s="22"/>
      <c r="F4529" s="22"/>
      <c r="G4529" s="22"/>
    </row>
    <row r="4530" spans="1:7" x14ac:dyDescent="0.15">
      <c r="A4530" s="41" t="s">
        <v>9307</v>
      </c>
      <c r="B4530" s="25" t="s">
        <v>12319</v>
      </c>
      <c r="C4530" s="19" t="s">
        <v>12320</v>
      </c>
      <c r="D4530" s="42" t="str">
        <f>HYPERLINK("https://rmda.kulib.kyoto-u.ac.jp/item/rb00002938?page=430")</f>
        <v>https://rmda.kulib.kyoto-u.ac.jp/item/rb00002938?page=430</v>
      </c>
      <c r="E4530" s="22"/>
      <c r="F4530" s="22"/>
      <c r="G4530" s="22"/>
    </row>
    <row r="4531" spans="1:7" x14ac:dyDescent="0.15">
      <c r="A4531" s="41" t="s">
        <v>9307</v>
      </c>
      <c r="B4531" s="25" t="s">
        <v>12321</v>
      </c>
      <c r="C4531" s="19" t="s">
        <v>12322</v>
      </c>
      <c r="D4531" s="42" t="str">
        <f>HYPERLINK("https://rmda.kulib.kyoto-u.ac.jp/item/rb00002938?page=430")</f>
        <v>https://rmda.kulib.kyoto-u.ac.jp/item/rb00002938?page=430</v>
      </c>
      <c r="E4531" s="22"/>
      <c r="F4531" s="22"/>
      <c r="G4531" s="22"/>
    </row>
    <row r="4532" spans="1:7" x14ac:dyDescent="0.15">
      <c r="A4532" s="41" t="s">
        <v>9307</v>
      </c>
      <c r="B4532" s="25" t="s">
        <v>12323</v>
      </c>
      <c r="C4532" s="19" t="s">
        <v>12324</v>
      </c>
      <c r="D4532" s="42" t="str">
        <f>HYPERLINK("https://rmda.kulib.kyoto-u.ac.jp/item/rb00002938?page=431")</f>
        <v>https://rmda.kulib.kyoto-u.ac.jp/item/rb00002938?page=431</v>
      </c>
      <c r="E4532" s="22"/>
      <c r="F4532" s="22"/>
      <c r="G4532" s="22"/>
    </row>
    <row r="4533" spans="1:7" x14ac:dyDescent="0.15">
      <c r="A4533" s="41" t="s">
        <v>9307</v>
      </c>
      <c r="B4533" s="25" t="s">
        <v>9961</v>
      </c>
      <c r="C4533" s="19" t="s">
        <v>12325</v>
      </c>
      <c r="D4533" s="42" t="str">
        <f>HYPERLINK("https://rmda.kulib.kyoto-u.ac.jp/item/rb00002938?page=431")</f>
        <v>https://rmda.kulib.kyoto-u.ac.jp/item/rb00002938?page=431</v>
      </c>
      <c r="E4533" s="22"/>
      <c r="F4533" s="22"/>
      <c r="G4533" s="22"/>
    </row>
    <row r="4534" spans="1:7" x14ac:dyDescent="0.15">
      <c r="A4534" s="41" t="s">
        <v>9307</v>
      </c>
      <c r="B4534" s="25" t="s">
        <v>10007</v>
      </c>
      <c r="C4534" s="19" t="s">
        <v>12326</v>
      </c>
      <c r="D4534" s="42" t="str">
        <f>HYPERLINK("https://rmda.kulib.kyoto-u.ac.jp/item/rb00002938?page=431")</f>
        <v>https://rmda.kulib.kyoto-u.ac.jp/item/rb00002938?page=431</v>
      </c>
      <c r="E4534" s="22"/>
      <c r="F4534" s="22"/>
      <c r="G4534" s="22"/>
    </row>
    <row r="4535" spans="1:7" x14ac:dyDescent="0.15">
      <c r="A4535" s="41" t="s">
        <v>9307</v>
      </c>
      <c r="B4535" s="25" t="s">
        <v>12327</v>
      </c>
      <c r="C4535" s="19" t="s">
        <v>12328</v>
      </c>
      <c r="D4535" s="42" t="str">
        <f>HYPERLINK("https://rmda.kulib.kyoto-u.ac.jp/item/rb00002938?page=431")</f>
        <v>https://rmda.kulib.kyoto-u.ac.jp/item/rb00002938?page=431</v>
      </c>
      <c r="E4535" s="22"/>
      <c r="F4535" s="22"/>
      <c r="G4535" s="22"/>
    </row>
    <row r="4536" spans="1:7" x14ac:dyDescent="0.15">
      <c r="A4536" s="41" t="s">
        <v>9307</v>
      </c>
      <c r="B4536" s="25" t="s">
        <v>12329</v>
      </c>
      <c r="C4536" s="19" t="s">
        <v>12330</v>
      </c>
      <c r="D4536" s="42" t="str">
        <f>HYPERLINK("https://rmda.kulib.kyoto-u.ac.jp/item/rb00002938?page=432")</f>
        <v>https://rmda.kulib.kyoto-u.ac.jp/item/rb00002938?page=432</v>
      </c>
      <c r="E4536" s="22"/>
      <c r="F4536" s="22"/>
      <c r="G4536" s="22"/>
    </row>
    <row r="4537" spans="1:7" x14ac:dyDescent="0.15">
      <c r="A4537" s="41" t="s">
        <v>9307</v>
      </c>
      <c r="B4537" s="25" t="s">
        <v>12331</v>
      </c>
      <c r="C4537" s="19" t="s">
        <v>12332</v>
      </c>
      <c r="D4537" s="42" t="str">
        <f>HYPERLINK("https://rmda.kulib.kyoto-u.ac.jp/item/rb00002938?page=432")</f>
        <v>https://rmda.kulib.kyoto-u.ac.jp/item/rb00002938?page=432</v>
      </c>
      <c r="E4537" s="22"/>
      <c r="F4537" s="22"/>
      <c r="G4537" s="22"/>
    </row>
    <row r="4538" spans="1:7" x14ac:dyDescent="0.15">
      <c r="A4538" s="41" t="s">
        <v>9307</v>
      </c>
      <c r="B4538" s="25" t="s">
        <v>10063</v>
      </c>
      <c r="C4538" s="19" t="s">
        <v>12333</v>
      </c>
      <c r="D4538" s="42" t="str">
        <f>HYPERLINK("https://rmda.kulib.kyoto-u.ac.jp/item/rb00002938?page=432")</f>
        <v>https://rmda.kulib.kyoto-u.ac.jp/item/rb00002938?page=432</v>
      </c>
      <c r="E4538" s="22"/>
      <c r="F4538" s="22"/>
      <c r="G4538" s="22"/>
    </row>
    <row r="4539" spans="1:7" x14ac:dyDescent="0.15">
      <c r="A4539" s="41" t="s">
        <v>9307</v>
      </c>
      <c r="B4539" s="25" t="s">
        <v>12334</v>
      </c>
      <c r="C4539" s="19" t="s">
        <v>12335</v>
      </c>
      <c r="D4539" s="42" t="str">
        <f>HYPERLINK("https://rmda.kulib.kyoto-u.ac.jp/item/rb00002938?page=432")</f>
        <v>https://rmda.kulib.kyoto-u.ac.jp/item/rb00002938?page=432</v>
      </c>
      <c r="E4539" s="22"/>
      <c r="F4539" s="22"/>
      <c r="G4539" s="22"/>
    </row>
    <row r="4540" spans="1:7" x14ac:dyDescent="0.15">
      <c r="A4540" s="41" t="s">
        <v>9307</v>
      </c>
      <c r="B4540" s="25" t="s">
        <v>12336</v>
      </c>
      <c r="C4540" s="19" t="s">
        <v>12337</v>
      </c>
      <c r="D4540" s="42" t="str">
        <f>HYPERLINK("https://rmda.kulib.kyoto-u.ac.jp/item/rb00002938?page=433")</f>
        <v>https://rmda.kulib.kyoto-u.ac.jp/item/rb00002938?page=433</v>
      </c>
      <c r="E4540" s="22"/>
      <c r="F4540" s="22"/>
      <c r="G4540" s="22"/>
    </row>
    <row r="4541" spans="1:7" x14ac:dyDescent="0.15">
      <c r="A4541" s="41" t="s">
        <v>9307</v>
      </c>
      <c r="B4541" s="25" t="s">
        <v>10035</v>
      </c>
      <c r="C4541" s="19" t="s">
        <v>12338</v>
      </c>
      <c r="D4541" s="42" t="str">
        <f>HYPERLINK("https://rmda.kulib.kyoto-u.ac.jp/item/rb00002938?page=433")</f>
        <v>https://rmda.kulib.kyoto-u.ac.jp/item/rb00002938?page=433</v>
      </c>
      <c r="E4541" s="22"/>
      <c r="F4541" s="22"/>
      <c r="G4541" s="22"/>
    </row>
    <row r="4542" spans="1:7" x14ac:dyDescent="0.15">
      <c r="A4542" s="41" t="s">
        <v>9307</v>
      </c>
      <c r="B4542" s="25" t="s">
        <v>12339</v>
      </c>
      <c r="C4542" s="19" t="s">
        <v>12340</v>
      </c>
      <c r="D4542" s="42" t="str">
        <f>HYPERLINK("https://rmda.kulib.kyoto-u.ac.jp/item/rb00002938?page=433")</f>
        <v>https://rmda.kulib.kyoto-u.ac.jp/item/rb00002938?page=433</v>
      </c>
      <c r="E4542" s="22"/>
      <c r="F4542" s="22"/>
      <c r="G4542" s="22"/>
    </row>
    <row r="4543" spans="1:7" x14ac:dyDescent="0.15">
      <c r="A4543" s="41" t="s">
        <v>9307</v>
      </c>
      <c r="B4543" s="25" t="s">
        <v>12341</v>
      </c>
      <c r="C4543" s="19" t="s">
        <v>12342</v>
      </c>
      <c r="D4543" s="42" t="str">
        <f>HYPERLINK("https://rmda.kulib.kyoto-u.ac.jp/item/rb00002938?page=433")</f>
        <v>https://rmda.kulib.kyoto-u.ac.jp/item/rb00002938?page=433</v>
      </c>
      <c r="E4543" s="22"/>
      <c r="F4543" s="22"/>
      <c r="G4543" s="22"/>
    </row>
    <row r="4544" spans="1:7" x14ac:dyDescent="0.15">
      <c r="A4544" s="41" t="s">
        <v>9307</v>
      </c>
      <c r="B4544" s="25" t="s">
        <v>12343</v>
      </c>
      <c r="C4544" s="19" t="s">
        <v>12344</v>
      </c>
      <c r="D4544" s="42" t="str">
        <f t="shared" ref="D4544:D4549" si="328">HYPERLINK("https://rmda.kulib.kyoto-u.ac.jp/item/rb00002938?page=434")</f>
        <v>https://rmda.kulib.kyoto-u.ac.jp/item/rb00002938?page=434</v>
      </c>
      <c r="E4544" s="22"/>
      <c r="F4544" s="22"/>
      <c r="G4544" s="22"/>
    </row>
    <row r="4545" spans="1:7" x14ac:dyDescent="0.15">
      <c r="A4545" s="41" t="s">
        <v>9307</v>
      </c>
      <c r="B4545" s="25" t="s">
        <v>10127</v>
      </c>
      <c r="C4545" s="19" t="s">
        <v>12345</v>
      </c>
      <c r="D4545" s="42" t="str">
        <f t="shared" si="328"/>
        <v>https://rmda.kulib.kyoto-u.ac.jp/item/rb00002938?page=434</v>
      </c>
      <c r="E4545" s="22"/>
      <c r="F4545" s="22"/>
      <c r="G4545" s="22"/>
    </row>
    <row r="4546" spans="1:7" x14ac:dyDescent="0.15">
      <c r="A4546" s="41" t="s">
        <v>9307</v>
      </c>
      <c r="B4546" s="25" t="s">
        <v>12346</v>
      </c>
      <c r="C4546" s="19" t="s">
        <v>12347</v>
      </c>
      <c r="D4546" s="42" t="str">
        <f t="shared" si="328"/>
        <v>https://rmda.kulib.kyoto-u.ac.jp/item/rb00002938?page=434</v>
      </c>
      <c r="E4546" s="22"/>
      <c r="F4546" s="22"/>
      <c r="G4546" s="22"/>
    </row>
    <row r="4547" spans="1:7" x14ac:dyDescent="0.15">
      <c r="A4547" s="41" t="s">
        <v>9307</v>
      </c>
      <c r="B4547" s="25" t="s">
        <v>12348</v>
      </c>
      <c r="C4547" s="19" t="s">
        <v>12349</v>
      </c>
      <c r="D4547" s="42" t="str">
        <f t="shared" si="328"/>
        <v>https://rmda.kulib.kyoto-u.ac.jp/item/rb00002938?page=434</v>
      </c>
      <c r="E4547" s="22"/>
      <c r="F4547" s="22"/>
      <c r="G4547" s="22"/>
    </row>
    <row r="4548" spans="1:7" x14ac:dyDescent="0.15">
      <c r="A4548" s="41" t="s">
        <v>9307</v>
      </c>
      <c r="B4548" s="25" t="s">
        <v>12350</v>
      </c>
      <c r="C4548" s="19" t="s">
        <v>12351</v>
      </c>
      <c r="D4548" s="42" t="str">
        <f t="shared" si="328"/>
        <v>https://rmda.kulib.kyoto-u.ac.jp/item/rb00002938?page=434</v>
      </c>
      <c r="E4548" s="22"/>
      <c r="F4548" s="22"/>
      <c r="G4548" s="22"/>
    </row>
    <row r="4549" spans="1:7" x14ac:dyDescent="0.15">
      <c r="A4549" s="41" t="s">
        <v>9307</v>
      </c>
      <c r="B4549" s="25" t="s">
        <v>12352</v>
      </c>
      <c r="C4549" s="19" t="s">
        <v>12353</v>
      </c>
      <c r="D4549" s="42" t="str">
        <f t="shared" si="328"/>
        <v>https://rmda.kulib.kyoto-u.ac.jp/item/rb00002938?page=434</v>
      </c>
      <c r="E4549" s="22"/>
      <c r="F4549" s="22"/>
      <c r="G4549" s="22"/>
    </row>
    <row r="4550" spans="1:7" ht="27" x14ac:dyDescent="0.15">
      <c r="A4550" s="41" t="s">
        <v>9307</v>
      </c>
      <c r="B4550" s="25" t="s">
        <v>12354</v>
      </c>
      <c r="C4550" s="19" t="s">
        <v>12355</v>
      </c>
      <c r="D4550" s="42" t="str">
        <f t="shared" ref="D4550:D4556" si="329">HYPERLINK("https://rmda.kulib.kyoto-u.ac.jp/item/rb00002938?page=435")</f>
        <v>https://rmda.kulib.kyoto-u.ac.jp/item/rb00002938?page=435</v>
      </c>
      <c r="E4550" s="22"/>
      <c r="F4550" s="22"/>
      <c r="G4550" s="22"/>
    </row>
    <row r="4551" spans="1:7" x14ac:dyDescent="0.15">
      <c r="A4551" s="41" t="s">
        <v>9307</v>
      </c>
      <c r="B4551" s="25" t="s">
        <v>12356</v>
      </c>
      <c r="C4551" s="19" t="s">
        <v>12357</v>
      </c>
      <c r="D4551" s="42" t="str">
        <f t="shared" si="329"/>
        <v>https://rmda.kulib.kyoto-u.ac.jp/item/rb00002938?page=435</v>
      </c>
      <c r="E4551" s="22"/>
      <c r="F4551" s="22"/>
      <c r="G4551" s="22"/>
    </row>
    <row r="4552" spans="1:7" x14ac:dyDescent="0.15">
      <c r="A4552" s="41" t="s">
        <v>9307</v>
      </c>
      <c r="B4552" s="25" t="s">
        <v>12358</v>
      </c>
      <c r="C4552" s="19" t="s">
        <v>12359</v>
      </c>
      <c r="D4552" s="42" t="str">
        <f t="shared" si="329"/>
        <v>https://rmda.kulib.kyoto-u.ac.jp/item/rb00002938?page=435</v>
      </c>
      <c r="E4552" s="22"/>
      <c r="F4552" s="22"/>
      <c r="G4552" s="22"/>
    </row>
    <row r="4553" spans="1:7" x14ac:dyDescent="0.15">
      <c r="A4553" s="41" t="s">
        <v>9307</v>
      </c>
      <c r="B4553" s="25" t="s">
        <v>12360</v>
      </c>
      <c r="C4553" s="19" t="s">
        <v>12361</v>
      </c>
      <c r="D4553" s="42" t="str">
        <f t="shared" si="329"/>
        <v>https://rmda.kulib.kyoto-u.ac.jp/item/rb00002938?page=435</v>
      </c>
      <c r="E4553" s="22"/>
      <c r="F4553" s="22"/>
      <c r="G4553" s="22"/>
    </row>
    <row r="4554" spans="1:7" x14ac:dyDescent="0.15">
      <c r="A4554" s="41" t="s">
        <v>9307</v>
      </c>
      <c r="B4554" s="25" t="s">
        <v>12362</v>
      </c>
      <c r="C4554" s="19" t="s">
        <v>12363</v>
      </c>
      <c r="D4554" s="42" t="str">
        <f t="shared" si="329"/>
        <v>https://rmda.kulib.kyoto-u.ac.jp/item/rb00002938?page=435</v>
      </c>
      <c r="E4554" s="22"/>
      <c r="F4554" s="22"/>
      <c r="G4554" s="22"/>
    </row>
    <row r="4555" spans="1:7" x14ac:dyDescent="0.15">
      <c r="A4555" s="41" t="s">
        <v>9307</v>
      </c>
      <c r="B4555" s="25" t="s">
        <v>12364</v>
      </c>
      <c r="C4555" s="19" t="s">
        <v>12365</v>
      </c>
      <c r="D4555" s="42" t="str">
        <f t="shared" si="329"/>
        <v>https://rmda.kulib.kyoto-u.ac.jp/item/rb00002938?page=435</v>
      </c>
      <c r="E4555" s="22"/>
      <c r="F4555" s="22"/>
      <c r="G4555" s="22"/>
    </row>
    <row r="4556" spans="1:7" x14ac:dyDescent="0.15">
      <c r="A4556" s="41" t="s">
        <v>9307</v>
      </c>
      <c r="B4556" s="25" t="s">
        <v>10692</v>
      </c>
      <c r="C4556" s="19" t="s">
        <v>12366</v>
      </c>
      <c r="D4556" s="42" t="str">
        <f t="shared" si="329"/>
        <v>https://rmda.kulib.kyoto-u.ac.jp/item/rb00002938?page=435</v>
      </c>
      <c r="E4556" s="22"/>
      <c r="F4556" s="22"/>
      <c r="G4556" s="22"/>
    </row>
    <row r="4557" spans="1:7" x14ac:dyDescent="0.15">
      <c r="A4557" s="41" t="s">
        <v>9307</v>
      </c>
      <c r="B4557" s="25" t="s">
        <v>10686</v>
      </c>
      <c r="C4557" s="19" t="s">
        <v>12367</v>
      </c>
      <c r="D4557" s="42" t="str">
        <f>HYPERLINK("https://rmda.kulib.kyoto-u.ac.jp/item/rb00002938?page=436")</f>
        <v>https://rmda.kulib.kyoto-u.ac.jp/item/rb00002938?page=436</v>
      </c>
      <c r="E4557" s="22"/>
      <c r="F4557" s="22"/>
      <c r="G4557" s="22"/>
    </row>
    <row r="4558" spans="1:7" x14ac:dyDescent="0.15">
      <c r="A4558" s="41" t="s">
        <v>9307</v>
      </c>
      <c r="B4558" s="25" t="s">
        <v>12368</v>
      </c>
      <c r="C4558" s="19" t="s">
        <v>12369</v>
      </c>
      <c r="D4558" s="42" t="str">
        <f>HYPERLINK("https://rmda.kulib.kyoto-u.ac.jp/item/rb00002938?page=436")</f>
        <v>https://rmda.kulib.kyoto-u.ac.jp/item/rb00002938?page=436</v>
      </c>
      <c r="E4558" s="22"/>
      <c r="F4558" s="22"/>
      <c r="G4558" s="22"/>
    </row>
    <row r="4559" spans="1:7" x14ac:dyDescent="0.15">
      <c r="A4559" s="41" t="s">
        <v>9307</v>
      </c>
      <c r="B4559" s="25" t="s">
        <v>10722</v>
      </c>
      <c r="C4559" s="19" t="s">
        <v>12370</v>
      </c>
      <c r="D4559" s="42" t="str">
        <f>HYPERLINK("https://rmda.kulib.kyoto-u.ac.jp/item/rb00002938?page=436")</f>
        <v>https://rmda.kulib.kyoto-u.ac.jp/item/rb00002938?page=436</v>
      </c>
      <c r="E4559" s="22"/>
      <c r="F4559" s="22"/>
      <c r="G4559" s="22"/>
    </row>
    <row r="4560" spans="1:7" x14ac:dyDescent="0.15">
      <c r="A4560" s="41" t="s">
        <v>9307</v>
      </c>
      <c r="B4560" s="25" t="s">
        <v>10760</v>
      </c>
      <c r="C4560" s="19" t="s">
        <v>12371</v>
      </c>
      <c r="D4560" s="42" t="str">
        <f>HYPERLINK("https://rmda.kulib.kyoto-u.ac.jp/item/rb00002938?page=437")</f>
        <v>https://rmda.kulib.kyoto-u.ac.jp/item/rb00002938?page=437</v>
      </c>
      <c r="E4560" s="22"/>
      <c r="F4560" s="22"/>
      <c r="G4560" s="22"/>
    </row>
    <row r="4561" spans="1:7" x14ac:dyDescent="0.15">
      <c r="A4561" s="41" t="s">
        <v>9307</v>
      </c>
      <c r="B4561" s="25" t="s">
        <v>11911</v>
      </c>
      <c r="C4561" s="19" t="s">
        <v>12372</v>
      </c>
      <c r="D4561" s="42" t="str">
        <f>HYPERLINK("https://rmda.kulib.kyoto-u.ac.jp/item/rb00002938?page=437")</f>
        <v>https://rmda.kulib.kyoto-u.ac.jp/item/rb00002938?page=437</v>
      </c>
      <c r="E4561" s="22"/>
      <c r="F4561" s="22"/>
      <c r="G4561" s="22"/>
    </row>
    <row r="4562" spans="1:7" x14ac:dyDescent="0.15">
      <c r="A4562" s="41" t="s">
        <v>9307</v>
      </c>
      <c r="B4562" s="25" t="s">
        <v>10311</v>
      </c>
      <c r="C4562" s="19" t="s">
        <v>12373</v>
      </c>
      <c r="D4562" s="42" t="str">
        <f>HYPERLINK("https://rmda.kulib.kyoto-u.ac.jp/item/rb00002938?page=437")</f>
        <v>https://rmda.kulib.kyoto-u.ac.jp/item/rb00002938?page=437</v>
      </c>
      <c r="E4562" s="22"/>
      <c r="F4562" s="22"/>
      <c r="G4562" s="22"/>
    </row>
    <row r="4563" spans="1:7" x14ac:dyDescent="0.15">
      <c r="A4563" s="41" t="s">
        <v>9307</v>
      </c>
      <c r="B4563" s="25" t="s">
        <v>10638</v>
      </c>
      <c r="C4563" s="19" t="s">
        <v>12374</v>
      </c>
      <c r="D4563" s="42" t="str">
        <f>HYPERLINK("https://rmda.kulib.kyoto-u.ac.jp/item/rb00002938?page=437")</f>
        <v>https://rmda.kulib.kyoto-u.ac.jp/item/rb00002938?page=437</v>
      </c>
      <c r="E4563" s="22"/>
      <c r="F4563" s="22"/>
      <c r="G4563" s="22"/>
    </row>
    <row r="4564" spans="1:7" x14ac:dyDescent="0.15">
      <c r="A4564" s="41" t="s">
        <v>9307</v>
      </c>
      <c r="B4564" s="25" t="s">
        <v>12375</v>
      </c>
      <c r="C4564" s="19" t="s">
        <v>12376</v>
      </c>
      <c r="D4564" s="42" t="str">
        <f>HYPERLINK("https://rmda.kulib.kyoto-u.ac.jp/item/rb00002938?page=437")</f>
        <v>https://rmda.kulib.kyoto-u.ac.jp/item/rb00002938?page=437</v>
      </c>
      <c r="E4564" s="22"/>
      <c r="F4564" s="22"/>
      <c r="G4564" s="22"/>
    </row>
    <row r="4565" spans="1:7" x14ac:dyDescent="0.15">
      <c r="A4565" s="41" t="s">
        <v>9307</v>
      </c>
      <c r="B4565" s="25" t="s">
        <v>12377</v>
      </c>
      <c r="C4565" s="19" t="s">
        <v>12378</v>
      </c>
      <c r="D4565" s="42" t="str">
        <f t="shared" ref="D4565:D4570" si="330">HYPERLINK("https://rmda.kulib.kyoto-u.ac.jp/item/rb00002938?page=438")</f>
        <v>https://rmda.kulib.kyoto-u.ac.jp/item/rb00002938?page=438</v>
      </c>
      <c r="E4565" s="22"/>
      <c r="F4565" s="22"/>
      <c r="G4565" s="22"/>
    </row>
    <row r="4566" spans="1:7" x14ac:dyDescent="0.15">
      <c r="A4566" s="41" t="s">
        <v>9307</v>
      </c>
      <c r="B4566" s="25" t="s">
        <v>12379</v>
      </c>
      <c r="C4566" s="19" t="s">
        <v>12380</v>
      </c>
      <c r="D4566" s="42" t="str">
        <f t="shared" si="330"/>
        <v>https://rmda.kulib.kyoto-u.ac.jp/item/rb00002938?page=438</v>
      </c>
      <c r="E4566" s="22"/>
      <c r="F4566" s="22"/>
      <c r="G4566" s="22"/>
    </row>
    <row r="4567" spans="1:7" x14ac:dyDescent="0.15">
      <c r="A4567" s="41" t="s">
        <v>9307</v>
      </c>
      <c r="B4567" s="25" t="s">
        <v>10578</v>
      </c>
      <c r="C4567" s="19" t="s">
        <v>12381</v>
      </c>
      <c r="D4567" s="42" t="str">
        <f t="shared" si="330"/>
        <v>https://rmda.kulib.kyoto-u.ac.jp/item/rb00002938?page=438</v>
      </c>
      <c r="E4567" s="22"/>
      <c r="F4567" s="22"/>
      <c r="G4567" s="22"/>
    </row>
    <row r="4568" spans="1:7" x14ac:dyDescent="0.15">
      <c r="A4568" s="41" t="s">
        <v>9307</v>
      </c>
      <c r="B4568" s="25" t="s">
        <v>10876</v>
      </c>
      <c r="C4568" s="19" t="s">
        <v>12382</v>
      </c>
      <c r="D4568" s="42" t="str">
        <f t="shared" si="330"/>
        <v>https://rmda.kulib.kyoto-u.ac.jp/item/rb00002938?page=438</v>
      </c>
      <c r="E4568" s="22"/>
      <c r="F4568" s="22"/>
      <c r="G4568" s="22"/>
    </row>
    <row r="4569" spans="1:7" x14ac:dyDescent="0.15">
      <c r="A4569" s="41" t="s">
        <v>9307</v>
      </c>
      <c r="B4569" s="25" t="s">
        <v>12383</v>
      </c>
      <c r="C4569" s="19" t="s">
        <v>12384</v>
      </c>
      <c r="D4569" s="42" t="str">
        <f t="shared" si="330"/>
        <v>https://rmda.kulib.kyoto-u.ac.jp/item/rb00002938?page=438</v>
      </c>
      <c r="E4569" s="22"/>
      <c r="F4569" s="22"/>
      <c r="G4569" s="22"/>
    </row>
    <row r="4570" spans="1:7" x14ac:dyDescent="0.15">
      <c r="A4570" s="41" t="s">
        <v>9307</v>
      </c>
      <c r="B4570" s="25" t="s">
        <v>12385</v>
      </c>
      <c r="C4570" s="19" t="s">
        <v>12386</v>
      </c>
      <c r="D4570" s="42" t="str">
        <f t="shared" si="330"/>
        <v>https://rmda.kulib.kyoto-u.ac.jp/item/rb00002938?page=438</v>
      </c>
      <c r="E4570" s="22"/>
      <c r="F4570" s="22"/>
      <c r="G4570" s="22"/>
    </row>
    <row r="4571" spans="1:7" x14ac:dyDescent="0.15">
      <c r="A4571" s="41" t="s">
        <v>9307</v>
      </c>
      <c r="B4571" s="25" t="s">
        <v>12387</v>
      </c>
      <c r="C4571" s="19" t="s">
        <v>12388</v>
      </c>
      <c r="D4571" s="42" t="str">
        <f t="shared" ref="D4571:D4577" si="331">HYPERLINK("https://rmda.kulib.kyoto-u.ac.jp/item/rb00002938?page=439")</f>
        <v>https://rmda.kulib.kyoto-u.ac.jp/item/rb00002938?page=439</v>
      </c>
      <c r="E4571" s="22"/>
      <c r="F4571" s="22"/>
      <c r="G4571" s="22"/>
    </row>
    <row r="4572" spans="1:7" x14ac:dyDescent="0.15">
      <c r="A4572" s="41" t="s">
        <v>9307</v>
      </c>
      <c r="B4572" s="25" t="s">
        <v>12389</v>
      </c>
      <c r="C4572" s="19" t="s">
        <v>12390</v>
      </c>
      <c r="D4572" s="42" t="str">
        <f t="shared" si="331"/>
        <v>https://rmda.kulib.kyoto-u.ac.jp/item/rb00002938?page=439</v>
      </c>
      <c r="E4572" s="22"/>
      <c r="F4572" s="22"/>
      <c r="G4572" s="22"/>
    </row>
    <row r="4573" spans="1:7" x14ac:dyDescent="0.15">
      <c r="A4573" s="41" t="s">
        <v>9307</v>
      </c>
      <c r="B4573" s="25" t="s">
        <v>12391</v>
      </c>
      <c r="C4573" s="19" t="s">
        <v>12392</v>
      </c>
      <c r="D4573" s="42" t="str">
        <f t="shared" si="331"/>
        <v>https://rmda.kulib.kyoto-u.ac.jp/item/rb00002938?page=439</v>
      </c>
      <c r="E4573" s="22"/>
      <c r="F4573" s="22"/>
      <c r="G4573" s="22"/>
    </row>
    <row r="4574" spans="1:7" x14ac:dyDescent="0.15">
      <c r="A4574" s="41" t="s">
        <v>9307</v>
      </c>
      <c r="B4574" s="25" t="s">
        <v>11828</v>
      </c>
      <c r="C4574" s="19" t="s">
        <v>12393</v>
      </c>
      <c r="D4574" s="42" t="str">
        <f t="shared" si="331"/>
        <v>https://rmda.kulib.kyoto-u.ac.jp/item/rb00002938?page=439</v>
      </c>
      <c r="E4574" s="22"/>
      <c r="F4574" s="22"/>
      <c r="G4574" s="22"/>
    </row>
    <row r="4575" spans="1:7" x14ac:dyDescent="0.15">
      <c r="A4575" s="41" t="s">
        <v>9307</v>
      </c>
      <c r="B4575" s="25" t="s">
        <v>12394</v>
      </c>
      <c r="C4575" s="19" t="s">
        <v>12395</v>
      </c>
      <c r="D4575" s="42" t="str">
        <f t="shared" si="331"/>
        <v>https://rmda.kulib.kyoto-u.ac.jp/item/rb00002938?page=439</v>
      </c>
      <c r="E4575" s="22"/>
      <c r="F4575" s="22"/>
      <c r="G4575" s="22"/>
    </row>
    <row r="4576" spans="1:7" x14ac:dyDescent="0.15">
      <c r="A4576" s="41" t="s">
        <v>9307</v>
      </c>
      <c r="B4576" s="25" t="s">
        <v>12396</v>
      </c>
      <c r="C4576" s="19" t="s">
        <v>12397</v>
      </c>
      <c r="D4576" s="42" t="str">
        <f t="shared" si="331"/>
        <v>https://rmda.kulib.kyoto-u.ac.jp/item/rb00002938?page=439</v>
      </c>
      <c r="E4576" s="22"/>
      <c r="F4576" s="22"/>
      <c r="G4576" s="22"/>
    </row>
    <row r="4577" spans="1:7" x14ac:dyDescent="0.15">
      <c r="A4577" s="41" t="s">
        <v>9307</v>
      </c>
      <c r="B4577" s="25" t="s">
        <v>12398</v>
      </c>
      <c r="C4577" s="19" t="s">
        <v>12399</v>
      </c>
      <c r="D4577" s="42" t="str">
        <f t="shared" si="331"/>
        <v>https://rmda.kulib.kyoto-u.ac.jp/item/rb00002938?page=439</v>
      </c>
      <c r="E4577" s="22"/>
      <c r="F4577" s="22"/>
      <c r="G4577" s="22"/>
    </row>
    <row r="4578" spans="1:7" x14ac:dyDescent="0.15">
      <c r="A4578" s="41" t="s">
        <v>9307</v>
      </c>
      <c r="B4578" s="25" t="s">
        <v>10586</v>
      </c>
      <c r="C4578" s="19" t="s">
        <v>12400</v>
      </c>
      <c r="D4578" s="42" t="str">
        <f t="shared" ref="D4578:D4584" si="332">HYPERLINK("https://rmda.kulib.kyoto-u.ac.jp/item/rb00002938?page=440")</f>
        <v>https://rmda.kulib.kyoto-u.ac.jp/item/rb00002938?page=440</v>
      </c>
      <c r="E4578" s="22"/>
      <c r="F4578" s="22"/>
      <c r="G4578" s="22"/>
    </row>
    <row r="4579" spans="1:7" x14ac:dyDescent="0.15">
      <c r="A4579" s="41" t="s">
        <v>9307</v>
      </c>
      <c r="B4579" s="25" t="s">
        <v>12401</v>
      </c>
      <c r="C4579" s="19" t="s">
        <v>12402</v>
      </c>
      <c r="D4579" s="42" t="str">
        <f t="shared" si="332"/>
        <v>https://rmda.kulib.kyoto-u.ac.jp/item/rb00002938?page=440</v>
      </c>
      <c r="E4579" s="22"/>
      <c r="F4579" s="22"/>
      <c r="G4579" s="22"/>
    </row>
    <row r="4580" spans="1:7" x14ac:dyDescent="0.15">
      <c r="A4580" s="41" t="s">
        <v>9307</v>
      </c>
      <c r="B4580" s="25" t="s">
        <v>12403</v>
      </c>
      <c r="C4580" s="19" t="s">
        <v>12404</v>
      </c>
      <c r="D4580" s="42" t="str">
        <f t="shared" si="332"/>
        <v>https://rmda.kulib.kyoto-u.ac.jp/item/rb00002938?page=440</v>
      </c>
      <c r="E4580" s="22"/>
      <c r="F4580" s="22"/>
      <c r="G4580" s="22"/>
    </row>
    <row r="4581" spans="1:7" x14ac:dyDescent="0.15">
      <c r="A4581" s="41" t="s">
        <v>9307</v>
      </c>
      <c r="B4581" s="25" t="s">
        <v>12405</v>
      </c>
      <c r="C4581" s="19" t="s">
        <v>12406</v>
      </c>
      <c r="D4581" s="42" t="str">
        <f t="shared" si="332"/>
        <v>https://rmda.kulib.kyoto-u.ac.jp/item/rb00002938?page=440</v>
      </c>
      <c r="E4581" s="22"/>
      <c r="F4581" s="22"/>
      <c r="G4581" s="22"/>
    </row>
    <row r="4582" spans="1:7" x14ac:dyDescent="0.15">
      <c r="A4582" s="41" t="s">
        <v>9307</v>
      </c>
      <c r="B4582" s="25" t="s">
        <v>12407</v>
      </c>
      <c r="C4582" s="19" t="s">
        <v>12408</v>
      </c>
      <c r="D4582" s="42" t="str">
        <f t="shared" si="332"/>
        <v>https://rmda.kulib.kyoto-u.ac.jp/item/rb00002938?page=440</v>
      </c>
      <c r="E4582" s="22"/>
      <c r="F4582" s="22"/>
      <c r="G4582" s="22"/>
    </row>
    <row r="4583" spans="1:7" x14ac:dyDescent="0.15">
      <c r="A4583" s="41" t="s">
        <v>9307</v>
      </c>
      <c r="B4583" s="25" t="s">
        <v>12409</v>
      </c>
      <c r="C4583" s="19" t="s">
        <v>12410</v>
      </c>
      <c r="D4583" s="42" t="str">
        <f t="shared" si="332"/>
        <v>https://rmda.kulib.kyoto-u.ac.jp/item/rb00002938?page=440</v>
      </c>
      <c r="E4583" s="22"/>
      <c r="F4583" s="22"/>
      <c r="G4583" s="22"/>
    </row>
    <row r="4584" spans="1:7" x14ac:dyDescent="0.15">
      <c r="A4584" s="41" t="s">
        <v>9307</v>
      </c>
      <c r="B4584" s="25" t="s">
        <v>12411</v>
      </c>
      <c r="C4584" s="19" t="s">
        <v>12412</v>
      </c>
      <c r="D4584" s="42" t="str">
        <f t="shared" si="332"/>
        <v>https://rmda.kulib.kyoto-u.ac.jp/item/rb00002938?page=440</v>
      </c>
      <c r="E4584" s="22"/>
      <c r="F4584" s="22"/>
      <c r="G4584" s="22"/>
    </row>
    <row r="4585" spans="1:7" x14ac:dyDescent="0.15">
      <c r="A4585" s="41" t="s">
        <v>9307</v>
      </c>
      <c r="B4585" s="25" t="s">
        <v>12413</v>
      </c>
      <c r="C4585" s="19" t="s">
        <v>12414</v>
      </c>
      <c r="D4585" s="42" t="str">
        <f t="shared" ref="D4585:D4591" si="333">HYPERLINK("https://rmda.kulib.kyoto-u.ac.jp/item/rb00002938?page=441")</f>
        <v>https://rmda.kulib.kyoto-u.ac.jp/item/rb00002938?page=441</v>
      </c>
      <c r="E4585" s="22"/>
      <c r="F4585" s="22"/>
      <c r="G4585" s="22"/>
    </row>
    <row r="4586" spans="1:7" x14ac:dyDescent="0.15">
      <c r="A4586" s="41" t="s">
        <v>9307</v>
      </c>
      <c r="B4586" s="25" t="s">
        <v>12415</v>
      </c>
      <c r="C4586" s="19" t="s">
        <v>12416</v>
      </c>
      <c r="D4586" s="42" t="str">
        <f t="shared" si="333"/>
        <v>https://rmda.kulib.kyoto-u.ac.jp/item/rb00002938?page=441</v>
      </c>
      <c r="E4586" s="22"/>
      <c r="F4586" s="22"/>
      <c r="G4586" s="22"/>
    </row>
    <row r="4587" spans="1:7" x14ac:dyDescent="0.15">
      <c r="A4587" s="41" t="s">
        <v>9307</v>
      </c>
      <c r="B4587" s="25" t="s">
        <v>12417</v>
      </c>
      <c r="C4587" s="19" t="s">
        <v>12418</v>
      </c>
      <c r="D4587" s="42" t="str">
        <f t="shared" si="333"/>
        <v>https://rmda.kulib.kyoto-u.ac.jp/item/rb00002938?page=441</v>
      </c>
      <c r="E4587" s="22"/>
      <c r="F4587" s="22"/>
      <c r="G4587" s="22"/>
    </row>
    <row r="4588" spans="1:7" x14ac:dyDescent="0.15">
      <c r="A4588" s="41" t="s">
        <v>9307</v>
      </c>
      <c r="B4588" s="25" t="s">
        <v>12419</v>
      </c>
      <c r="C4588" s="19" t="s">
        <v>12420</v>
      </c>
      <c r="D4588" s="42" t="str">
        <f t="shared" si="333"/>
        <v>https://rmda.kulib.kyoto-u.ac.jp/item/rb00002938?page=441</v>
      </c>
      <c r="E4588" s="22"/>
      <c r="F4588" s="22"/>
      <c r="G4588" s="22"/>
    </row>
    <row r="4589" spans="1:7" x14ac:dyDescent="0.15">
      <c r="A4589" s="41" t="s">
        <v>9307</v>
      </c>
      <c r="B4589" s="25" t="s">
        <v>12421</v>
      </c>
      <c r="C4589" s="19" t="s">
        <v>12422</v>
      </c>
      <c r="D4589" s="42" t="str">
        <f t="shared" si="333"/>
        <v>https://rmda.kulib.kyoto-u.ac.jp/item/rb00002938?page=441</v>
      </c>
      <c r="E4589" s="22"/>
      <c r="F4589" s="22"/>
      <c r="G4589" s="22"/>
    </row>
    <row r="4590" spans="1:7" x14ac:dyDescent="0.15">
      <c r="A4590" s="41" t="s">
        <v>9307</v>
      </c>
      <c r="B4590" s="25" t="s">
        <v>12423</v>
      </c>
      <c r="C4590" s="19" t="s">
        <v>12424</v>
      </c>
      <c r="D4590" s="42" t="str">
        <f t="shared" si="333"/>
        <v>https://rmda.kulib.kyoto-u.ac.jp/item/rb00002938?page=441</v>
      </c>
      <c r="E4590" s="22"/>
      <c r="F4590" s="22"/>
      <c r="G4590" s="22"/>
    </row>
    <row r="4591" spans="1:7" x14ac:dyDescent="0.15">
      <c r="A4591" s="41" t="s">
        <v>9307</v>
      </c>
      <c r="B4591" s="25" t="s">
        <v>12425</v>
      </c>
      <c r="C4591" s="19" t="s">
        <v>12426</v>
      </c>
      <c r="D4591" s="42" t="str">
        <f t="shared" si="333"/>
        <v>https://rmda.kulib.kyoto-u.ac.jp/item/rb00002938?page=441</v>
      </c>
      <c r="E4591" s="22"/>
      <c r="F4591" s="22"/>
      <c r="G4591" s="22"/>
    </row>
    <row r="4592" spans="1:7" x14ac:dyDescent="0.15">
      <c r="A4592" s="41" t="s">
        <v>9307</v>
      </c>
      <c r="B4592" s="25" t="s">
        <v>12427</v>
      </c>
      <c r="C4592" s="19" t="s">
        <v>12428</v>
      </c>
      <c r="D4592" s="42" t="str">
        <f t="shared" ref="D4592:D4598" si="334">HYPERLINK("https://rmda.kulib.kyoto-u.ac.jp/item/rb00002938?page=442")</f>
        <v>https://rmda.kulib.kyoto-u.ac.jp/item/rb00002938?page=442</v>
      </c>
      <c r="E4592" s="22"/>
      <c r="F4592" s="22"/>
      <c r="G4592" s="22"/>
    </row>
    <row r="4593" spans="1:7" x14ac:dyDescent="0.15">
      <c r="A4593" s="41" t="s">
        <v>9307</v>
      </c>
      <c r="B4593" s="25" t="s">
        <v>12429</v>
      </c>
      <c r="C4593" s="19" t="s">
        <v>12430</v>
      </c>
      <c r="D4593" s="42" t="str">
        <f t="shared" si="334"/>
        <v>https://rmda.kulib.kyoto-u.ac.jp/item/rb00002938?page=442</v>
      </c>
      <c r="E4593" s="22"/>
      <c r="F4593" s="22"/>
      <c r="G4593" s="22"/>
    </row>
    <row r="4594" spans="1:7" x14ac:dyDescent="0.15">
      <c r="A4594" s="41" t="s">
        <v>9307</v>
      </c>
      <c r="B4594" s="25" t="s">
        <v>12431</v>
      </c>
      <c r="C4594" s="19" t="s">
        <v>12432</v>
      </c>
      <c r="D4594" s="42" t="str">
        <f t="shared" si="334"/>
        <v>https://rmda.kulib.kyoto-u.ac.jp/item/rb00002938?page=442</v>
      </c>
      <c r="E4594" s="22"/>
      <c r="F4594" s="22"/>
      <c r="G4594" s="22"/>
    </row>
    <row r="4595" spans="1:7" x14ac:dyDescent="0.15">
      <c r="A4595" s="41" t="s">
        <v>9307</v>
      </c>
      <c r="B4595" s="25" t="s">
        <v>12433</v>
      </c>
      <c r="C4595" s="19" t="s">
        <v>12434</v>
      </c>
      <c r="D4595" s="42" t="str">
        <f t="shared" si="334"/>
        <v>https://rmda.kulib.kyoto-u.ac.jp/item/rb00002938?page=442</v>
      </c>
      <c r="E4595" s="22"/>
      <c r="F4595" s="22"/>
      <c r="G4595" s="22"/>
    </row>
    <row r="4596" spans="1:7" x14ac:dyDescent="0.15">
      <c r="A4596" s="41" t="s">
        <v>9307</v>
      </c>
      <c r="B4596" s="25" t="s">
        <v>12435</v>
      </c>
      <c r="C4596" s="19" t="s">
        <v>12436</v>
      </c>
      <c r="D4596" s="42" t="str">
        <f t="shared" si="334"/>
        <v>https://rmda.kulib.kyoto-u.ac.jp/item/rb00002938?page=442</v>
      </c>
      <c r="E4596" s="22"/>
      <c r="F4596" s="22"/>
      <c r="G4596" s="22"/>
    </row>
    <row r="4597" spans="1:7" x14ac:dyDescent="0.15">
      <c r="A4597" s="41" t="s">
        <v>9307</v>
      </c>
      <c r="B4597" s="25" t="s">
        <v>12437</v>
      </c>
      <c r="C4597" s="19" t="s">
        <v>12438</v>
      </c>
      <c r="D4597" s="42" t="str">
        <f t="shared" si="334"/>
        <v>https://rmda.kulib.kyoto-u.ac.jp/item/rb00002938?page=442</v>
      </c>
      <c r="E4597" s="22"/>
      <c r="F4597" s="22"/>
      <c r="G4597" s="22"/>
    </row>
    <row r="4598" spans="1:7" ht="18.75" x14ac:dyDescent="0.15">
      <c r="A4598" s="41" t="s">
        <v>9307</v>
      </c>
      <c r="B4598" s="25" t="s">
        <v>12439</v>
      </c>
      <c r="C4598" s="19" t="s">
        <v>12440</v>
      </c>
      <c r="D4598" s="42" t="str">
        <f t="shared" si="334"/>
        <v>https://rmda.kulib.kyoto-u.ac.jp/item/rb00002938?page=442</v>
      </c>
      <c r="E4598" s="22"/>
      <c r="F4598" s="22"/>
      <c r="G4598" s="22"/>
    </row>
    <row r="4599" spans="1:7" x14ac:dyDescent="0.15">
      <c r="A4599" s="41" t="s">
        <v>9307</v>
      </c>
      <c r="B4599" s="25" t="s">
        <v>12441</v>
      </c>
      <c r="C4599" s="19" t="s">
        <v>12442</v>
      </c>
      <c r="D4599" s="42" t="str">
        <f>HYPERLINK("https://rmda.kulib.kyoto-u.ac.jp/item/rb00002938?page=443")</f>
        <v>https://rmda.kulib.kyoto-u.ac.jp/item/rb00002938?page=443</v>
      </c>
      <c r="E4599" s="22"/>
      <c r="F4599" s="22"/>
      <c r="G4599" s="22"/>
    </row>
    <row r="4600" spans="1:7" x14ac:dyDescent="0.15">
      <c r="A4600" s="41" t="s">
        <v>9307</v>
      </c>
      <c r="B4600" s="25" t="s">
        <v>10307</v>
      </c>
      <c r="C4600" s="19" t="s">
        <v>12443</v>
      </c>
      <c r="D4600" s="42" t="str">
        <f>HYPERLINK("https://rmda.kulib.kyoto-u.ac.jp/item/rb00002938?page=443")</f>
        <v>https://rmda.kulib.kyoto-u.ac.jp/item/rb00002938?page=443</v>
      </c>
      <c r="E4600" s="22"/>
      <c r="F4600" s="22"/>
      <c r="G4600" s="22"/>
    </row>
    <row r="4601" spans="1:7" x14ac:dyDescent="0.15">
      <c r="A4601" s="41" t="s">
        <v>9307</v>
      </c>
      <c r="B4601" s="25" t="s">
        <v>10314</v>
      </c>
      <c r="C4601" s="19" t="s">
        <v>12444</v>
      </c>
      <c r="D4601" s="42" t="str">
        <f>HYPERLINK("https://rmda.kulib.kyoto-u.ac.jp/item/rb00002938?page=443")</f>
        <v>https://rmda.kulib.kyoto-u.ac.jp/item/rb00002938?page=443</v>
      </c>
      <c r="E4601" s="22"/>
      <c r="F4601" s="22"/>
      <c r="G4601" s="22"/>
    </row>
    <row r="4602" spans="1:7" x14ac:dyDescent="0.15">
      <c r="A4602" s="41" t="s">
        <v>9307</v>
      </c>
      <c r="B4602" s="25" t="s">
        <v>12445</v>
      </c>
      <c r="C4602" s="19" t="s">
        <v>12446</v>
      </c>
      <c r="D4602" s="42" t="str">
        <f>HYPERLINK("https://rmda.kulib.kyoto-u.ac.jp/item/rb00002938?page=443")</f>
        <v>https://rmda.kulib.kyoto-u.ac.jp/item/rb00002938?page=443</v>
      </c>
      <c r="E4602" s="22"/>
      <c r="F4602" s="22"/>
      <c r="G4602" s="22"/>
    </row>
    <row r="4603" spans="1:7" x14ac:dyDescent="0.15">
      <c r="A4603" s="41" t="s">
        <v>9307</v>
      </c>
      <c r="B4603" s="25" t="s">
        <v>12447</v>
      </c>
      <c r="C4603" s="19" t="s">
        <v>12448</v>
      </c>
      <c r="D4603" s="42" t="str">
        <f>HYPERLINK("https://rmda.kulib.kyoto-u.ac.jp/item/rb00002938?page=443")</f>
        <v>https://rmda.kulib.kyoto-u.ac.jp/item/rb00002938?page=443</v>
      </c>
      <c r="E4603" s="22"/>
      <c r="F4603" s="22"/>
      <c r="G4603" s="22"/>
    </row>
    <row r="4604" spans="1:7" x14ac:dyDescent="0.15">
      <c r="A4604" s="41" t="s">
        <v>9307</v>
      </c>
      <c r="B4604" s="25" t="s">
        <v>12449</v>
      </c>
      <c r="C4604" s="19" t="s">
        <v>12450</v>
      </c>
      <c r="D4604" s="42" t="str">
        <f>HYPERLINK("https://rmda.kulib.kyoto-u.ac.jp/item/rb00002938?page=444")</f>
        <v>https://rmda.kulib.kyoto-u.ac.jp/item/rb00002938?page=444</v>
      </c>
      <c r="E4604" s="22"/>
      <c r="F4604" s="22"/>
      <c r="G4604" s="22"/>
    </row>
    <row r="4605" spans="1:7" x14ac:dyDescent="0.15">
      <c r="A4605" s="41" t="s">
        <v>9307</v>
      </c>
      <c r="B4605" s="25" t="s">
        <v>11110</v>
      </c>
      <c r="C4605" s="19" t="s">
        <v>12451</v>
      </c>
      <c r="D4605" s="42" t="str">
        <f>HYPERLINK("https://rmda.kulib.kyoto-u.ac.jp/item/rb00002938?page=444")</f>
        <v>https://rmda.kulib.kyoto-u.ac.jp/item/rb00002938?page=444</v>
      </c>
      <c r="E4605" s="22"/>
      <c r="F4605" s="22"/>
      <c r="G4605" s="22"/>
    </row>
    <row r="4606" spans="1:7" x14ac:dyDescent="0.15">
      <c r="A4606" s="41" t="s">
        <v>9307</v>
      </c>
      <c r="B4606" s="25" t="s">
        <v>12452</v>
      </c>
      <c r="C4606" s="19" t="s">
        <v>12453</v>
      </c>
      <c r="D4606" s="42" t="str">
        <f>HYPERLINK("https://rmda.kulib.kyoto-u.ac.jp/item/rb00002938?page=444")</f>
        <v>https://rmda.kulib.kyoto-u.ac.jp/item/rb00002938?page=444</v>
      </c>
      <c r="E4606" s="22"/>
      <c r="F4606" s="22"/>
      <c r="G4606" s="22"/>
    </row>
    <row r="4607" spans="1:7" x14ac:dyDescent="0.15">
      <c r="A4607" s="41" t="s">
        <v>9307</v>
      </c>
      <c r="B4607" s="25" t="s">
        <v>9311</v>
      </c>
      <c r="C4607" s="19" t="s">
        <v>12454</v>
      </c>
      <c r="D4607" s="42" t="str">
        <f>HYPERLINK("https://rmda.kulib.kyoto-u.ac.jp/item/rb00002938?page=444")</f>
        <v>https://rmda.kulib.kyoto-u.ac.jp/item/rb00002938?page=444</v>
      </c>
      <c r="E4607" s="22"/>
      <c r="F4607" s="22"/>
      <c r="G4607" s="22"/>
    </row>
    <row r="4608" spans="1:7" x14ac:dyDescent="0.15">
      <c r="A4608" s="41" t="s">
        <v>9307</v>
      </c>
      <c r="B4608" s="25" t="s">
        <v>12455</v>
      </c>
      <c r="C4608" s="19" t="s">
        <v>12456</v>
      </c>
      <c r="D4608" s="42" t="str">
        <f t="shared" ref="D4608:D4614" si="335">HYPERLINK("https://rmda.kulib.kyoto-u.ac.jp/item/rb00002938?page=445")</f>
        <v>https://rmda.kulib.kyoto-u.ac.jp/item/rb00002938?page=445</v>
      </c>
      <c r="E4608" s="22"/>
      <c r="F4608" s="22"/>
      <c r="G4608" s="22"/>
    </row>
    <row r="4609" spans="1:7" x14ac:dyDescent="0.15">
      <c r="A4609" s="41" t="s">
        <v>9307</v>
      </c>
      <c r="B4609" s="25" t="s">
        <v>12457</v>
      </c>
      <c r="C4609" s="19" t="s">
        <v>12458</v>
      </c>
      <c r="D4609" s="42" t="str">
        <f t="shared" si="335"/>
        <v>https://rmda.kulib.kyoto-u.ac.jp/item/rb00002938?page=445</v>
      </c>
      <c r="E4609" s="22"/>
      <c r="F4609" s="22"/>
      <c r="G4609" s="22"/>
    </row>
    <row r="4610" spans="1:7" x14ac:dyDescent="0.15">
      <c r="A4610" s="41" t="s">
        <v>9307</v>
      </c>
      <c r="B4610" s="25" t="s">
        <v>12459</v>
      </c>
      <c r="C4610" s="19" t="s">
        <v>12460</v>
      </c>
      <c r="D4610" s="42" t="str">
        <f t="shared" si="335"/>
        <v>https://rmda.kulib.kyoto-u.ac.jp/item/rb00002938?page=445</v>
      </c>
      <c r="E4610" s="22"/>
      <c r="F4610" s="22"/>
      <c r="G4610" s="22"/>
    </row>
    <row r="4611" spans="1:7" x14ac:dyDescent="0.15">
      <c r="A4611" s="41" t="s">
        <v>9307</v>
      </c>
      <c r="B4611" s="25" t="s">
        <v>12461</v>
      </c>
      <c r="C4611" s="19" t="s">
        <v>12462</v>
      </c>
      <c r="D4611" s="42" t="str">
        <f t="shared" si="335"/>
        <v>https://rmda.kulib.kyoto-u.ac.jp/item/rb00002938?page=445</v>
      </c>
      <c r="E4611" s="22"/>
      <c r="F4611" s="22"/>
      <c r="G4611" s="22"/>
    </row>
    <row r="4612" spans="1:7" x14ac:dyDescent="0.15">
      <c r="A4612" s="41" t="s">
        <v>9307</v>
      </c>
      <c r="B4612" s="25" t="s">
        <v>11715</v>
      </c>
      <c r="C4612" s="19" t="s">
        <v>12463</v>
      </c>
      <c r="D4612" s="42" t="str">
        <f t="shared" si="335"/>
        <v>https://rmda.kulib.kyoto-u.ac.jp/item/rb00002938?page=445</v>
      </c>
      <c r="E4612" s="22"/>
      <c r="F4612" s="22"/>
      <c r="G4612" s="22"/>
    </row>
    <row r="4613" spans="1:7" x14ac:dyDescent="0.15">
      <c r="A4613" s="41" t="s">
        <v>9307</v>
      </c>
      <c r="B4613" s="25" t="s">
        <v>12464</v>
      </c>
      <c r="C4613" s="19" t="s">
        <v>12465</v>
      </c>
      <c r="D4613" s="42" t="str">
        <f t="shared" si="335"/>
        <v>https://rmda.kulib.kyoto-u.ac.jp/item/rb00002938?page=445</v>
      </c>
      <c r="E4613" s="22"/>
      <c r="F4613" s="22"/>
      <c r="G4613" s="22"/>
    </row>
    <row r="4614" spans="1:7" x14ac:dyDescent="0.15">
      <c r="A4614" s="41" t="s">
        <v>9307</v>
      </c>
      <c r="B4614" s="25" t="s">
        <v>9323</v>
      </c>
      <c r="C4614" s="19" t="s">
        <v>12466</v>
      </c>
      <c r="D4614" s="42" t="str">
        <f t="shared" si="335"/>
        <v>https://rmda.kulib.kyoto-u.ac.jp/item/rb00002938?page=445</v>
      </c>
      <c r="E4614" s="22"/>
      <c r="F4614" s="22"/>
      <c r="G4614" s="22"/>
    </row>
    <row r="4615" spans="1:7" x14ac:dyDescent="0.15">
      <c r="A4615" s="41" t="s">
        <v>9307</v>
      </c>
      <c r="B4615" s="25" t="s">
        <v>12467</v>
      </c>
      <c r="C4615" s="19" t="s">
        <v>12468</v>
      </c>
      <c r="D4615" s="42" t="str">
        <f t="shared" ref="D4615:D4621" si="336">HYPERLINK("https://rmda.kulib.kyoto-u.ac.jp/item/rb00002938?page=446")</f>
        <v>https://rmda.kulib.kyoto-u.ac.jp/item/rb00002938?page=446</v>
      </c>
      <c r="E4615" s="22"/>
      <c r="F4615" s="22"/>
      <c r="G4615" s="22"/>
    </row>
    <row r="4616" spans="1:7" x14ac:dyDescent="0.15">
      <c r="A4616" s="41" t="s">
        <v>9307</v>
      </c>
      <c r="B4616" s="25" t="s">
        <v>12469</v>
      </c>
      <c r="C4616" s="19" t="s">
        <v>12470</v>
      </c>
      <c r="D4616" s="42" t="str">
        <f t="shared" si="336"/>
        <v>https://rmda.kulib.kyoto-u.ac.jp/item/rb00002938?page=446</v>
      </c>
      <c r="E4616" s="22"/>
      <c r="F4616" s="22"/>
      <c r="G4616" s="22"/>
    </row>
    <row r="4617" spans="1:7" x14ac:dyDescent="0.15">
      <c r="A4617" s="41" t="s">
        <v>9307</v>
      </c>
      <c r="B4617" s="25" t="s">
        <v>11830</v>
      </c>
      <c r="C4617" s="19" t="s">
        <v>12471</v>
      </c>
      <c r="D4617" s="42" t="str">
        <f t="shared" si="336"/>
        <v>https://rmda.kulib.kyoto-u.ac.jp/item/rb00002938?page=446</v>
      </c>
      <c r="E4617" s="22"/>
      <c r="F4617" s="22"/>
      <c r="G4617" s="22"/>
    </row>
    <row r="4618" spans="1:7" x14ac:dyDescent="0.15">
      <c r="A4618" s="41" t="s">
        <v>9307</v>
      </c>
      <c r="B4618" s="25" t="s">
        <v>12472</v>
      </c>
      <c r="C4618" s="19" t="s">
        <v>12473</v>
      </c>
      <c r="D4618" s="42" t="str">
        <f t="shared" si="336"/>
        <v>https://rmda.kulib.kyoto-u.ac.jp/item/rb00002938?page=446</v>
      </c>
      <c r="E4618" s="22"/>
      <c r="F4618" s="22"/>
      <c r="G4618" s="22"/>
    </row>
    <row r="4619" spans="1:7" x14ac:dyDescent="0.15">
      <c r="A4619" s="41" t="s">
        <v>9307</v>
      </c>
      <c r="B4619" s="25" t="s">
        <v>12474</v>
      </c>
      <c r="C4619" s="19" t="s">
        <v>12475</v>
      </c>
      <c r="D4619" s="42" t="str">
        <f t="shared" si="336"/>
        <v>https://rmda.kulib.kyoto-u.ac.jp/item/rb00002938?page=446</v>
      </c>
      <c r="E4619" s="22"/>
      <c r="F4619" s="22"/>
      <c r="G4619" s="22"/>
    </row>
    <row r="4620" spans="1:7" x14ac:dyDescent="0.15">
      <c r="A4620" s="41" t="s">
        <v>9307</v>
      </c>
      <c r="B4620" s="25" t="s">
        <v>12476</v>
      </c>
      <c r="C4620" s="19" t="s">
        <v>12477</v>
      </c>
      <c r="D4620" s="42" t="str">
        <f t="shared" si="336"/>
        <v>https://rmda.kulib.kyoto-u.ac.jp/item/rb00002938?page=446</v>
      </c>
      <c r="E4620" s="22"/>
      <c r="F4620" s="22"/>
      <c r="G4620" s="22"/>
    </row>
    <row r="4621" spans="1:7" x14ac:dyDescent="0.15">
      <c r="A4621" s="41" t="s">
        <v>9307</v>
      </c>
      <c r="B4621" s="25" t="s">
        <v>11236</v>
      </c>
      <c r="C4621" s="19" t="s">
        <v>12478</v>
      </c>
      <c r="D4621" s="42" t="str">
        <f t="shared" si="336"/>
        <v>https://rmda.kulib.kyoto-u.ac.jp/item/rb00002938?page=446</v>
      </c>
      <c r="E4621" s="22"/>
      <c r="F4621" s="22"/>
      <c r="G4621" s="22"/>
    </row>
    <row r="4622" spans="1:7" x14ac:dyDescent="0.15">
      <c r="A4622" s="41" t="s">
        <v>9307</v>
      </c>
      <c r="B4622" s="25" t="s">
        <v>11028</v>
      </c>
      <c r="C4622" s="19" t="s">
        <v>12479</v>
      </c>
      <c r="D4622" s="42" t="str">
        <f t="shared" ref="D4622:D4627" si="337">HYPERLINK("https://rmda.kulib.kyoto-u.ac.jp/item/rb00002938?page=447")</f>
        <v>https://rmda.kulib.kyoto-u.ac.jp/item/rb00002938?page=447</v>
      </c>
      <c r="E4622" s="22"/>
      <c r="F4622" s="22"/>
      <c r="G4622" s="22"/>
    </row>
    <row r="4623" spans="1:7" x14ac:dyDescent="0.15">
      <c r="A4623" s="41" t="s">
        <v>9307</v>
      </c>
      <c r="B4623" s="25" t="s">
        <v>11036</v>
      </c>
      <c r="C4623" s="19" t="s">
        <v>12480</v>
      </c>
      <c r="D4623" s="42" t="str">
        <f t="shared" si="337"/>
        <v>https://rmda.kulib.kyoto-u.ac.jp/item/rb00002938?page=447</v>
      </c>
      <c r="E4623" s="22"/>
      <c r="F4623" s="22"/>
      <c r="G4623" s="22"/>
    </row>
    <row r="4624" spans="1:7" x14ac:dyDescent="0.15">
      <c r="A4624" s="41" t="s">
        <v>9307</v>
      </c>
      <c r="B4624" s="25" t="s">
        <v>12481</v>
      </c>
      <c r="C4624" s="19" t="s">
        <v>12482</v>
      </c>
      <c r="D4624" s="42" t="str">
        <f t="shared" si="337"/>
        <v>https://rmda.kulib.kyoto-u.ac.jp/item/rb00002938?page=447</v>
      </c>
      <c r="E4624" s="22"/>
      <c r="F4624" s="22"/>
      <c r="G4624" s="22"/>
    </row>
    <row r="4625" spans="1:7" x14ac:dyDescent="0.15">
      <c r="A4625" s="41" t="s">
        <v>9307</v>
      </c>
      <c r="B4625" s="25" t="s">
        <v>11038</v>
      </c>
      <c r="C4625" s="19" t="s">
        <v>12483</v>
      </c>
      <c r="D4625" s="42" t="str">
        <f t="shared" si="337"/>
        <v>https://rmda.kulib.kyoto-u.ac.jp/item/rb00002938?page=447</v>
      </c>
      <c r="E4625" s="22"/>
      <c r="F4625" s="22"/>
      <c r="G4625" s="22"/>
    </row>
    <row r="4626" spans="1:7" x14ac:dyDescent="0.15">
      <c r="A4626" s="41" t="s">
        <v>9307</v>
      </c>
      <c r="B4626" s="25" t="s">
        <v>10930</v>
      </c>
      <c r="C4626" s="19" t="s">
        <v>12484</v>
      </c>
      <c r="D4626" s="42" t="str">
        <f t="shared" si="337"/>
        <v>https://rmda.kulib.kyoto-u.ac.jp/item/rb00002938?page=447</v>
      </c>
      <c r="E4626" s="22"/>
      <c r="F4626" s="22"/>
      <c r="G4626" s="22"/>
    </row>
    <row r="4627" spans="1:7" x14ac:dyDescent="0.15">
      <c r="A4627" s="41" t="s">
        <v>9307</v>
      </c>
      <c r="B4627" s="25" t="s">
        <v>12485</v>
      </c>
      <c r="C4627" s="19" t="s">
        <v>12486</v>
      </c>
      <c r="D4627" s="42" t="str">
        <f t="shared" si="337"/>
        <v>https://rmda.kulib.kyoto-u.ac.jp/item/rb00002938?page=447</v>
      </c>
      <c r="E4627" s="22"/>
      <c r="F4627" s="22"/>
      <c r="G4627" s="22"/>
    </row>
    <row r="4628" spans="1:7" x14ac:dyDescent="0.15">
      <c r="A4628" s="41" t="s">
        <v>9307</v>
      </c>
      <c r="B4628" s="25" t="s">
        <v>12487</v>
      </c>
      <c r="C4628" s="19" t="s">
        <v>12488</v>
      </c>
      <c r="D4628" s="42" t="str">
        <f t="shared" ref="D4628:D4633" si="338">HYPERLINK("https://rmda.kulib.kyoto-u.ac.jp/item/rb00002938?page=448")</f>
        <v>https://rmda.kulib.kyoto-u.ac.jp/item/rb00002938?page=448</v>
      </c>
      <c r="E4628" s="22"/>
      <c r="F4628" s="22"/>
      <c r="G4628" s="22"/>
    </row>
    <row r="4629" spans="1:7" x14ac:dyDescent="0.15">
      <c r="A4629" s="41" t="s">
        <v>9307</v>
      </c>
      <c r="B4629" s="25" t="s">
        <v>10960</v>
      </c>
      <c r="C4629" s="19" t="s">
        <v>12489</v>
      </c>
      <c r="D4629" s="42" t="str">
        <f t="shared" si="338"/>
        <v>https://rmda.kulib.kyoto-u.ac.jp/item/rb00002938?page=448</v>
      </c>
      <c r="E4629" s="22"/>
      <c r="F4629" s="22"/>
      <c r="G4629" s="22"/>
    </row>
    <row r="4630" spans="1:7" x14ac:dyDescent="0.15">
      <c r="A4630" s="41" t="s">
        <v>9307</v>
      </c>
      <c r="B4630" s="25" t="s">
        <v>12490</v>
      </c>
      <c r="C4630" s="19" t="s">
        <v>12491</v>
      </c>
      <c r="D4630" s="42" t="str">
        <f t="shared" si="338"/>
        <v>https://rmda.kulib.kyoto-u.ac.jp/item/rb00002938?page=448</v>
      </c>
      <c r="E4630" s="22"/>
      <c r="F4630" s="22"/>
      <c r="G4630" s="22"/>
    </row>
    <row r="4631" spans="1:7" x14ac:dyDescent="0.15">
      <c r="A4631" s="41" t="s">
        <v>9307</v>
      </c>
      <c r="B4631" s="25" t="s">
        <v>11006</v>
      </c>
      <c r="C4631" s="19" t="s">
        <v>12492</v>
      </c>
      <c r="D4631" s="42" t="str">
        <f t="shared" si="338"/>
        <v>https://rmda.kulib.kyoto-u.ac.jp/item/rb00002938?page=448</v>
      </c>
      <c r="E4631" s="22"/>
      <c r="F4631" s="22"/>
      <c r="G4631" s="22"/>
    </row>
    <row r="4632" spans="1:7" x14ac:dyDescent="0.15">
      <c r="A4632" s="41" t="s">
        <v>9307</v>
      </c>
      <c r="B4632" s="25" t="s">
        <v>12493</v>
      </c>
      <c r="C4632" s="19" t="s">
        <v>12494</v>
      </c>
      <c r="D4632" s="42" t="str">
        <f t="shared" si="338"/>
        <v>https://rmda.kulib.kyoto-u.ac.jp/item/rb00002938?page=448</v>
      </c>
      <c r="E4632" s="22"/>
      <c r="F4632" s="22"/>
      <c r="G4632" s="22"/>
    </row>
    <row r="4633" spans="1:7" x14ac:dyDescent="0.15">
      <c r="A4633" s="41" t="s">
        <v>9307</v>
      </c>
      <c r="B4633" s="25" t="s">
        <v>12495</v>
      </c>
      <c r="C4633" s="19" t="s">
        <v>12496</v>
      </c>
      <c r="D4633" s="42" t="str">
        <f t="shared" si="338"/>
        <v>https://rmda.kulib.kyoto-u.ac.jp/item/rb00002938?page=448</v>
      </c>
      <c r="E4633" s="22"/>
      <c r="F4633" s="22"/>
      <c r="G4633" s="22"/>
    </row>
    <row r="4634" spans="1:7" x14ac:dyDescent="0.15">
      <c r="A4634" s="41" t="s">
        <v>9307</v>
      </c>
      <c r="B4634" s="25" t="s">
        <v>12497</v>
      </c>
      <c r="C4634" s="19" t="s">
        <v>12498</v>
      </c>
      <c r="D4634" s="42" t="str">
        <f t="shared" ref="D4634:D4643" si="339">HYPERLINK("https://rmda.kulib.kyoto-u.ac.jp/item/rb00002938?page=449")</f>
        <v>https://rmda.kulib.kyoto-u.ac.jp/item/rb00002938?page=449</v>
      </c>
      <c r="E4634" s="22"/>
      <c r="F4634" s="22"/>
      <c r="G4634" s="22"/>
    </row>
    <row r="4635" spans="1:7" x14ac:dyDescent="0.15">
      <c r="A4635" s="41" t="s">
        <v>9307</v>
      </c>
      <c r="B4635" s="25" t="s">
        <v>11122</v>
      </c>
      <c r="C4635" s="19" t="s">
        <v>12499</v>
      </c>
      <c r="D4635" s="42" t="str">
        <f t="shared" si="339"/>
        <v>https://rmda.kulib.kyoto-u.ac.jp/item/rb00002938?page=449</v>
      </c>
      <c r="E4635" s="22"/>
      <c r="F4635" s="22"/>
      <c r="G4635" s="22"/>
    </row>
    <row r="4636" spans="1:7" x14ac:dyDescent="0.15">
      <c r="A4636" s="41" t="s">
        <v>9307</v>
      </c>
      <c r="B4636" s="25" t="s">
        <v>12500</v>
      </c>
      <c r="C4636" s="19" t="s">
        <v>12501</v>
      </c>
      <c r="D4636" s="42" t="str">
        <f t="shared" si="339"/>
        <v>https://rmda.kulib.kyoto-u.ac.jp/item/rb00002938?page=449</v>
      </c>
      <c r="E4636" s="22"/>
      <c r="F4636" s="22"/>
      <c r="G4636" s="22"/>
    </row>
    <row r="4637" spans="1:7" x14ac:dyDescent="0.15">
      <c r="A4637" s="41" t="s">
        <v>9307</v>
      </c>
      <c r="B4637" s="25" t="s">
        <v>12502</v>
      </c>
      <c r="C4637" s="19" t="s">
        <v>12503</v>
      </c>
      <c r="D4637" s="42" t="str">
        <f t="shared" si="339"/>
        <v>https://rmda.kulib.kyoto-u.ac.jp/item/rb00002938?page=449</v>
      </c>
      <c r="E4637" s="22"/>
      <c r="F4637" s="22"/>
      <c r="G4637" s="22"/>
    </row>
    <row r="4638" spans="1:7" x14ac:dyDescent="0.15">
      <c r="A4638" s="41" t="s">
        <v>9307</v>
      </c>
      <c r="B4638" s="25" t="s">
        <v>12504</v>
      </c>
      <c r="C4638" s="19" t="s">
        <v>12505</v>
      </c>
      <c r="D4638" s="42" t="str">
        <f t="shared" si="339"/>
        <v>https://rmda.kulib.kyoto-u.ac.jp/item/rb00002938?page=449</v>
      </c>
      <c r="E4638" s="22"/>
      <c r="F4638" s="22"/>
      <c r="G4638" s="22"/>
    </row>
    <row r="4639" spans="1:7" x14ac:dyDescent="0.15">
      <c r="A4639" s="41" t="s">
        <v>9307</v>
      </c>
      <c r="B4639" s="25" t="s">
        <v>12506</v>
      </c>
      <c r="C4639" s="19" t="s">
        <v>12507</v>
      </c>
      <c r="D4639" s="42" t="str">
        <f t="shared" si="339"/>
        <v>https://rmda.kulib.kyoto-u.ac.jp/item/rb00002938?page=449</v>
      </c>
      <c r="E4639" s="22"/>
      <c r="F4639" s="22"/>
      <c r="G4639" s="22"/>
    </row>
    <row r="4640" spans="1:7" x14ac:dyDescent="0.15">
      <c r="A4640" s="41" t="s">
        <v>9307</v>
      </c>
      <c r="B4640" s="25" t="s">
        <v>12508</v>
      </c>
      <c r="C4640" s="19" t="s">
        <v>12509</v>
      </c>
      <c r="D4640" s="42" t="str">
        <f t="shared" si="339"/>
        <v>https://rmda.kulib.kyoto-u.ac.jp/item/rb00002938?page=449</v>
      </c>
      <c r="E4640" s="22"/>
      <c r="F4640" s="22"/>
      <c r="G4640" s="22"/>
    </row>
    <row r="4641" spans="1:7" x14ac:dyDescent="0.15">
      <c r="A4641" s="41" t="s">
        <v>9307</v>
      </c>
      <c r="B4641" s="25" t="s">
        <v>12510</v>
      </c>
      <c r="C4641" s="19" t="s">
        <v>12511</v>
      </c>
      <c r="D4641" s="42" t="str">
        <f t="shared" si="339"/>
        <v>https://rmda.kulib.kyoto-u.ac.jp/item/rb00002938?page=449</v>
      </c>
      <c r="E4641" s="22"/>
      <c r="F4641" s="22"/>
      <c r="G4641" s="22"/>
    </row>
    <row r="4642" spans="1:7" x14ac:dyDescent="0.15">
      <c r="A4642" s="41" t="s">
        <v>9307</v>
      </c>
      <c r="B4642" s="25" t="s">
        <v>12512</v>
      </c>
      <c r="C4642" s="19" t="s">
        <v>12513</v>
      </c>
      <c r="D4642" s="42" t="str">
        <f t="shared" si="339"/>
        <v>https://rmda.kulib.kyoto-u.ac.jp/item/rb00002938?page=449</v>
      </c>
      <c r="E4642" s="22"/>
      <c r="F4642" s="22"/>
      <c r="G4642" s="22"/>
    </row>
    <row r="4643" spans="1:7" x14ac:dyDescent="0.15">
      <c r="A4643" s="41" t="s">
        <v>9307</v>
      </c>
      <c r="B4643" s="25" t="s">
        <v>12514</v>
      </c>
      <c r="C4643" s="19" t="s">
        <v>12515</v>
      </c>
      <c r="D4643" s="42" t="str">
        <f t="shared" si="339"/>
        <v>https://rmda.kulib.kyoto-u.ac.jp/item/rb00002938?page=449</v>
      </c>
      <c r="E4643" s="22"/>
      <c r="F4643" s="22"/>
      <c r="G4643" s="22"/>
    </row>
    <row r="4644" spans="1:7" x14ac:dyDescent="0.15">
      <c r="A4644" s="41" t="s">
        <v>9307</v>
      </c>
      <c r="B4644" s="25" t="s">
        <v>12516</v>
      </c>
      <c r="C4644" s="19" t="s">
        <v>12517</v>
      </c>
      <c r="D4644" s="42" t="str">
        <f>HYPERLINK("https://rmda.kulib.kyoto-u.ac.jp/item/rb00002938?page=450")</f>
        <v>https://rmda.kulib.kyoto-u.ac.jp/item/rb00002938?page=450</v>
      </c>
      <c r="E4644" s="22"/>
      <c r="F4644" s="22"/>
      <c r="G4644" s="22"/>
    </row>
    <row r="4645" spans="1:7" x14ac:dyDescent="0.15">
      <c r="A4645" s="41" t="s">
        <v>9307</v>
      </c>
      <c r="B4645" s="25" t="s">
        <v>12518</v>
      </c>
      <c r="C4645" s="19" t="s">
        <v>12519</v>
      </c>
      <c r="D4645" s="42" t="str">
        <f>HYPERLINK("https://rmda.kulib.kyoto-u.ac.jp/item/rb00002938?page=450")</f>
        <v>https://rmda.kulib.kyoto-u.ac.jp/item/rb00002938?page=450</v>
      </c>
      <c r="E4645" s="22"/>
      <c r="F4645" s="22"/>
      <c r="G4645" s="22"/>
    </row>
    <row r="4646" spans="1:7" x14ac:dyDescent="0.15">
      <c r="A4646" s="41" t="s">
        <v>9307</v>
      </c>
      <c r="B4646" s="25" t="s">
        <v>12520</v>
      </c>
      <c r="C4646" s="19" t="s">
        <v>12521</v>
      </c>
      <c r="D4646" s="42" t="str">
        <f>HYPERLINK("https://rmda.kulib.kyoto-u.ac.jp/item/rb00002938?page=450")</f>
        <v>https://rmda.kulib.kyoto-u.ac.jp/item/rb00002938?page=450</v>
      </c>
      <c r="E4646" s="22"/>
      <c r="F4646" s="22"/>
      <c r="G4646" s="22"/>
    </row>
    <row r="4647" spans="1:7" x14ac:dyDescent="0.15">
      <c r="A4647" s="41" t="s">
        <v>9307</v>
      </c>
      <c r="B4647" s="25" t="s">
        <v>12522</v>
      </c>
      <c r="C4647" s="19" t="s">
        <v>12523</v>
      </c>
      <c r="D4647" s="42" t="str">
        <f>HYPERLINK("https://rmda.kulib.kyoto-u.ac.jp/item/rb00002938?page=450")</f>
        <v>https://rmda.kulib.kyoto-u.ac.jp/item/rb00002938?page=450</v>
      </c>
      <c r="E4647" s="22"/>
      <c r="F4647" s="22"/>
      <c r="G4647" s="22"/>
    </row>
    <row r="4648" spans="1:7" x14ac:dyDescent="0.15">
      <c r="A4648" s="41" t="s">
        <v>9307</v>
      </c>
      <c r="B4648" s="25" t="s">
        <v>11202</v>
      </c>
      <c r="C4648" s="19" t="s">
        <v>12524</v>
      </c>
      <c r="D4648" s="42" t="str">
        <f>HYPERLINK("https://rmda.kulib.kyoto-u.ac.jp/item/rb00002938?page=451")</f>
        <v>https://rmda.kulib.kyoto-u.ac.jp/item/rb00002938?page=451</v>
      </c>
      <c r="E4648" s="22"/>
      <c r="F4648" s="22"/>
      <c r="G4648" s="22"/>
    </row>
    <row r="4649" spans="1:7" x14ac:dyDescent="0.15">
      <c r="A4649" s="41" t="s">
        <v>9307</v>
      </c>
      <c r="B4649" s="25" t="s">
        <v>12525</v>
      </c>
      <c r="C4649" s="19" t="s">
        <v>12526</v>
      </c>
      <c r="D4649" s="42" t="str">
        <f>HYPERLINK("https://rmda.kulib.kyoto-u.ac.jp/item/rb00002938?page=451")</f>
        <v>https://rmda.kulib.kyoto-u.ac.jp/item/rb00002938?page=451</v>
      </c>
      <c r="E4649" s="22"/>
      <c r="F4649" s="22"/>
      <c r="G4649" s="22"/>
    </row>
    <row r="4650" spans="1:7" x14ac:dyDescent="0.15">
      <c r="A4650" s="41" t="s">
        <v>9307</v>
      </c>
      <c r="B4650" s="25" t="s">
        <v>12527</v>
      </c>
      <c r="C4650" s="19" t="s">
        <v>12528</v>
      </c>
      <c r="D4650" s="42" t="str">
        <f>HYPERLINK("https://rmda.kulib.kyoto-u.ac.jp/item/rb00002938?page=451")</f>
        <v>https://rmda.kulib.kyoto-u.ac.jp/item/rb00002938?page=451</v>
      </c>
      <c r="E4650" s="22"/>
      <c r="F4650" s="22"/>
      <c r="G4650" s="22"/>
    </row>
    <row r="4651" spans="1:7" x14ac:dyDescent="0.15">
      <c r="A4651" s="41" t="s">
        <v>9307</v>
      </c>
      <c r="B4651" s="25" t="s">
        <v>11204</v>
      </c>
      <c r="C4651" s="19" t="s">
        <v>12529</v>
      </c>
      <c r="D4651" s="42" t="str">
        <f>HYPERLINK("https://rmda.kulib.kyoto-u.ac.jp/item/rb00002938?page=451")</f>
        <v>https://rmda.kulib.kyoto-u.ac.jp/item/rb00002938?page=451</v>
      </c>
      <c r="E4651" s="22"/>
      <c r="F4651" s="22"/>
      <c r="G4651" s="22"/>
    </row>
    <row r="4652" spans="1:7" x14ac:dyDescent="0.15">
      <c r="A4652" s="41" t="s">
        <v>9307</v>
      </c>
      <c r="B4652" s="25" t="s">
        <v>12530</v>
      </c>
      <c r="C4652" s="19" t="s">
        <v>12531</v>
      </c>
      <c r="D4652" s="42" t="str">
        <f>HYPERLINK("https://rmda.kulib.kyoto-u.ac.jp/item/rb00002938?page=451")</f>
        <v>https://rmda.kulib.kyoto-u.ac.jp/item/rb00002938?page=451</v>
      </c>
      <c r="E4652" s="22"/>
      <c r="F4652" s="22"/>
      <c r="G4652" s="22"/>
    </row>
    <row r="4653" spans="1:7" x14ac:dyDescent="0.15">
      <c r="A4653" s="41" t="s">
        <v>9307</v>
      </c>
      <c r="B4653" s="25" t="s">
        <v>12532</v>
      </c>
      <c r="C4653" s="19" t="s">
        <v>12533</v>
      </c>
      <c r="D4653" s="42" t="str">
        <f t="shared" ref="D4653:D4669" si="340">HYPERLINK("https://rmda.kulib.kyoto-u.ac.jp/item/rb00002938?page=452")</f>
        <v>https://rmda.kulib.kyoto-u.ac.jp/item/rb00002938?page=452</v>
      </c>
      <c r="E4653" s="22"/>
      <c r="F4653" s="22"/>
      <c r="G4653" s="22"/>
    </row>
    <row r="4654" spans="1:7" x14ac:dyDescent="0.15">
      <c r="A4654" s="41" t="s">
        <v>9307</v>
      </c>
      <c r="B4654" s="25" t="s">
        <v>12534</v>
      </c>
      <c r="C4654" s="19" t="s">
        <v>12535</v>
      </c>
      <c r="D4654" s="42" t="str">
        <f t="shared" si="340"/>
        <v>https://rmda.kulib.kyoto-u.ac.jp/item/rb00002938?page=452</v>
      </c>
      <c r="E4654" s="22"/>
      <c r="F4654" s="22"/>
      <c r="G4654" s="22"/>
    </row>
    <row r="4655" spans="1:7" x14ac:dyDescent="0.15">
      <c r="A4655" s="41" t="s">
        <v>9307</v>
      </c>
      <c r="B4655" s="25" t="s">
        <v>11220</v>
      </c>
      <c r="C4655" s="19" t="s">
        <v>12536</v>
      </c>
      <c r="D4655" s="42" t="str">
        <f t="shared" si="340"/>
        <v>https://rmda.kulib.kyoto-u.ac.jp/item/rb00002938?page=452</v>
      </c>
      <c r="E4655" s="22"/>
      <c r="F4655" s="22"/>
      <c r="G4655" s="22"/>
    </row>
    <row r="4656" spans="1:7" x14ac:dyDescent="0.15">
      <c r="A4656" s="41" t="s">
        <v>9307</v>
      </c>
      <c r="B4656" s="25" t="s">
        <v>12537</v>
      </c>
      <c r="C4656" s="19" t="s">
        <v>12538</v>
      </c>
      <c r="D4656" s="42" t="str">
        <f t="shared" si="340"/>
        <v>https://rmda.kulib.kyoto-u.ac.jp/item/rb00002938?page=452</v>
      </c>
      <c r="E4656" s="22"/>
      <c r="F4656" s="22"/>
      <c r="G4656" s="22"/>
    </row>
    <row r="4657" spans="1:7" x14ac:dyDescent="0.15">
      <c r="A4657" s="41" t="s">
        <v>9307</v>
      </c>
      <c r="B4657" s="25" t="s">
        <v>12539</v>
      </c>
      <c r="C4657" s="19" t="s">
        <v>12540</v>
      </c>
      <c r="D4657" s="42" t="str">
        <f t="shared" si="340"/>
        <v>https://rmda.kulib.kyoto-u.ac.jp/item/rb00002938?page=452</v>
      </c>
      <c r="E4657" s="22"/>
      <c r="F4657" s="22"/>
      <c r="G4657" s="22"/>
    </row>
    <row r="4658" spans="1:7" x14ac:dyDescent="0.15">
      <c r="A4658" s="41" t="s">
        <v>9307</v>
      </c>
      <c r="B4658" s="25" t="s">
        <v>12541</v>
      </c>
      <c r="C4658" s="19" t="s">
        <v>12542</v>
      </c>
      <c r="D4658" s="42" t="str">
        <f t="shared" si="340"/>
        <v>https://rmda.kulib.kyoto-u.ac.jp/item/rb00002938?page=452</v>
      </c>
      <c r="E4658" s="22"/>
      <c r="F4658" s="22"/>
      <c r="G4658" s="22"/>
    </row>
    <row r="4659" spans="1:7" x14ac:dyDescent="0.15">
      <c r="A4659" s="41" t="s">
        <v>9307</v>
      </c>
      <c r="B4659" s="25" t="s">
        <v>12543</v>
      </c>
      <c r="C4659" s="19" t="s">
        <v>12544</v>
      </c>
      <c r="D4659" s="42" t="str">
        <f t="shared" si="340"/>
        <v>https://rmda.kulib.kyoto-u.ac.jp/item/rb00002938?page=452</v>
      </c>
      <c r="E4659" s="22"/>
      <c r="F4659" s="22"/>
      <c r="G4659" s="22"/>
    </row>
    <row r="4660" spans="1:7" x14ac:dyDescent="0.15">
      <c r="A4660" s="41" t="s">
        <v>9307</v>
      </c>
      <c r="B4660" s="25" t="s">
        <v>12545</v>
      </c>
      <c r="C4660" s="19" t="s">
        <v>12546</v>
      </c>
      <c r="D4660" s="42" t="str">
        <f t="shared" si="340"/>
        <v>https://rmda.kulib.kyoto-u.ac.jp/item/rb00002938?page=452</v>
      </c>
      <c r="E4660" s="22"/>
      <c r="F4660" s="22"/>
      <c r="G4660" s="22"/>
    </row>
    <row r="4661" spans="1:7" x14ac:dyDescent="0.15">
      <c r="A4661" s="41" t="s">
        <v>9307</v>
      </c>
      <c r="B4661" s="25" t="s">
        <v>12547</v>
      </c>
      <c r="C4661" s="19" t="s">
        <v>12548</v>
      </c>
      <c r="D4661" s="42" t="str">
        <f t="shared" si="340"/>
        <v>https://rmda.kulib.kyoto-u.ac.jp/item/rb00002938?page=452</v>
      </c>
      <c r="E4661" s="22"/>
      <c r="F4661" s="22"/>
      <c r="G4661" s="22"/>
    </row>
    <row r="4662" spans="1:7" x14ac:dyDescent="0.15">
      <c r="A4662" s="41" t="s">
        <v>9307</v>
      </c>
      <c r="B4662" s="25" t="s">
        <v>11218</v>
      </c>
      <c r="C4662" s="19" t="s">
        <v>12549</v>
      </c>
      <c r="D4662" s="42" t="str">
        <f t="shared" si="340"/>
        <v>https://rmda.kulib.kyoto-u.ac.jp/item/rb00002938?page=452</v>
      </c>
      <c r="E4662" s="22"/>
      <c r="F4662" s="22"/>
      <c r="G4662" s="22"/>
    </row>
    <row r="4663" spans="1:7" x14ac:dyDescent="0.15">
      <c r="A4663" s="41" t="s">
        <v>9307</v>
      </c>
      <c r="B4663" s="25" t="s">
        <v>12550</v>
      </c>
      <c r="C4663" s="19" t="s">
        <v>12551</v>
      </c>
      <c r="D4663" s="42" t="str">
        <f t="shared" si="340"/>
        <v>https://rmda.kulib.kyoto-u.ac.jp/item/rb00002938?page=452</v>
      </c>
      <c r="E4663" s="22"/>
      <c r="F4663" s="22"/>
      <c r="G4663" s="22"/>
    </row>
    <row r="4664" spans="1:7" x14ac:dyDescent="0.15">
      <c r="A4664" s="41" t="s">
        <v>9307</v>
      </c>
      <c r="B4664" s="25" t="s">
        <v>12552</v>
      </c>
      <c r="C4664" s="19" t="s">
        <v>12553</v>
      </c>
      <c r="D4664" s="42" t="str">
        <f t="shared" si="340"/>
        <v>https://rmda.kulib.kyoto-u.ac.jp/item/rb00002938?page=452</v>
      </c>
      <c r="E4664" s="22"/>
      <c r="F4664" s="22"/>
      <c r="G4664" s="22"/>
    </row>
    <row r="4665" spans="1:7" x14ac:dyDescent="0.15">
      <c r="A4665" s="41" t="s">
        <v>9307</v>
      </c>
      <c r="B4665" s="25" t="s">
        <v>12554</v>
      </c>
      <c r="C4665" s="19" t="s">
        <v>12555</v>
      </c>
      <c r="D4665" s="42" t="str">
        <f t="shared" si="340"/>
        <v>https://rmda.kulib.kyoto-u.ac.jp/item/rb00002938?page=452</v>
      </c>
      <c r="E4665" s="22"/>
      <c r="F4665" s="22"/>
      <c r="G4665" s="22"/>
    </row>
    <row r="4666" spans="1:7" x14ac:dyDescent="0.15">
      <c r="A4666" s="41" t="s">
        <v>9307</v>
      </c>
      <c r="B4666" s="25" t="s">
        <v>12556</v>
      </c>
      <c r="C4666" s="19" t="s">
        <v>12557</v>
      </c>
      <c r="D4666" s="42" t="str">
        <f t="shared" si="340"/>
        <v>https://rmda.kulib.kyoto-u.ac.jp/item/rb00002938?page=452</v>
      </c>
      <c r="E4666" s="22"/>
      <c r="F4666" s="22"/>
      <c r="G4666" s="22"/>
    </row>
    <row r="4667" spans="1:7" x14ac:dyDescent="0.15">
      <c r="A4667" s="41" t="s">
        <v>9307</v>
      </c>
      <c r="B4667" s="25" t="s">
        <v>12558</v>
      </c>
      <c r="C4667" s="19" t="s">
        <v>12559</v>
      </c>
      <c r="D4667" s="42" t="str">
        <f t="shared" si="340"/>
        <v>https://rmda.kulib.kyoto-u.ac.jp/item/rb00002938?page=452</v>
      </c>
      <c r="E4667" s="22"/>
      <c r="F4667" s="22"/>
      <c r="G4667" s="22"/>
    </row>
    <row r="4668" spans="1:7" x14ac:dyDescent="0.15">
      <c r="A4668" s="41" t="s">
        <v>9307</v>
      </c>
      <c r="B4668" s="25" t="s">
        <v>12560</v>
      </c>
      <c r="C4668" s="19" t="s">
        <v>12561</v>
      </c>
      <c r="D4668" s="42" t="str">
        <f t="shared" si="340"/>
        <v>https://rmda.kulib.kyoto-u.ac.jp/item/rb00002938?page=452</v>
      </c>
      <c r="E4668" s="22"/>
      <c r="F4668" s="22"/>
      <c r="G4668" s="22"/>
    </row>
    <row r="4669" spans="1:7" x14ac:dyDescent="0.15">
      <c r="A4669" s="41" t="s">
        <v>9307</v>
      </c>
      <c r="B4669" s="25" t="s">
        <v>11214</v>
      </c>
      <c r="C4669" s="19" t="s">
        <v>12562</v>
      </c>
      <c r="D4669" s="42" t="str">
        <f t="shared" si="340"/>
        <v>https://rmda.kulib.kyoto-u.ac.jp/item/rb00002938?page=452</v>
      </c>
      <c r="E4669" s="22"/>
      <c r="F4669" s="22"/>
      <c r="G4669" s="22"/>
    </row>
    <row r="4670" spans="1:7" x14ac:dyDescent="0.15">
      <c r="A4670" s="41" t="s">
        <v>9307</v>
      </c>
      <c r="B4670" s="25" t="s">
        <v>12563</v>
      </c>
      <c r="C4670" s="19" t="s">
        <v>12564</v>
      </c>
      <c r="D4670" s="42" t="str">
        <f t="shared" ref="D4670:D4680" si="341">HYPERLINK("https://rmda.kulib.kyoto-u.ac.jp/item/rb00002938?page=453")</f>
        <v>https://rmda.kulib.kyoto-u.ac.jp/item/rb00002938?page=453</v>
      </c>
      <c r="E4670" s="22"/>
      <c r="F4670" s="22"/>
      <c r="G4670" s="22"/>
    </row>
    <row r="4671" spans="1:7" x14ac:dyDescent="0.15">
      <c r="A4671" s="41" t="s">
        <v>9307</v>
      </c>
      <c r="B4671" s="25" t="s">
        <v>11226</v>
      </c>
      <c r="C4671" s="19" t="s">
        <v>12565</v>
      </c>
      <c r="D4671" s="42" t="str">
        <f t="shared" si="341"/>
        <v>https://rmda.kulib.kyoto-u.ac.jp/item/rb00002938?page=453</v>
      </c>
      <c r="E4671" s="22"/>
      <c r="F4671" s="22"/>
      <c r="G4671" s="22"/>
    </row>
    <row r="4672" spans="1:7" x14ac:dyDescent="0.15">
      <c r="A4672" s="41" t="s">
        <v>9307</v>
      </c>
      <c r="B4672" s="25" t="s">
        <v>12566</v>
      </c>
      <c r="C4672" s="19" t="s">
        <v>12567</v>
      </c>
      <c r="D4672" s="42" t="str">
        <f t="shared" si="341"/>
        <v>https://rmda.kulib.kyoto-u.ac.jp/item/rb00002938?page=453</v>
      </c>
      <c r="E4672" s="22"/>
      <c r="F4672" s="22"/>
      <c r="G4672" s="22"/>
    </row>
    <row r="4673" spans="1:7" x14ac:dyDescent="0.15">
      <c r="A4673" s="41" t="s">
        <v>9307</v>
      </c>
      <c r="B4673" s="25" t="s">
        <v>11216</v>
      </c>
      <c r="C4673" s="19" t="s">
        <v>12568</v>
      </c>
      <c r="D4673" s="42" t="str">
        <f t="shared" si="341"/>
        <v>https://rmda.kulib.kyoto-u.ac.jp/item/rb00002938?page=453</v>
      </c>
      <c r="E4673" s="22"/>
      <c r="F4673" s="22"/>
      <c r="G4673" s="22"/>
    </row>
    <row r="4674" spans="1:7" x14ac:dyDescent="0.15">
      <c r="A4674" s="41" t="s">
        <v>9307</v>
      </c>
      <c r="B4674" s="25" t="s">
        <v>11224</v>
      </c>
      <c r="C4674" s="19" t="s">
        <v>12569</v>
      </c>
      <c r="D4674" s="42" t="str">
        <f t="shared" si="341"/>
        <v>https://rmda.kulib.kyoto-u.ac.jp/item/rb00002938?page=453</v>
      </c>
      <c r="E4674" s="22"/>
      <c r="F4674" s="22"/>
      <c r="G4674" s="22"/>
    </row>
    <row r="4675" spans="1:7" x14ac:dyDescent="0.15">
      <c r="A4675" s="41" t="s">
        <v>9307</v>
      </c>
      <c r="B4675" s="25" t="s">
        <v>11208</v>
      </c>
      <c r="C4675" s="19" t="s">
        <v>12570</v>
      </c>
      <c r="D4675" s="42" t="str">
        <f t="shared" si="341"/>
        <v>https://rmda.kulib.kyoto-u.ac.jp/item/rb00002938?page=453</v>
      </c>
      <c r="E4675" s="22"/>
      <c r="F4675" s="22"/>
      <c r="G4675" s="22"/>
    </row>
    <row r="4676" spans="1:7" x14ac:dyDescent="0.15">
      <c r="A4676" s="41" t="s">
        <v>9307</v>
      </c>
      <c r="B4676" s="25" t="s">
        <v>12571</v>
      </c>
      <c r="C4676" s="19" t="s">
        <v>12572</v>
      </c>
      <c r="D4676" s="42" t="str">
        <f t="shared" si="341"/>
        <v>https://rmda.kulib.kyoto-u.ac.jp/item/rb00002938?page=453</v>
      </c>
      <c r="E4676" s="22"/>
      <c r="F4676" s="22"/>
      <c r="G4676" s="22"/>
    </row>
    <row r="4677" spans="1:7" x14ac:dyDescent="0.15">
      <c r="A4677" s="41" t="s">
        <v>9307</v>
      </c>
      <c r="B4677" s="25" t="s">
        <v>12573</v>
      </c>
      <c r="C4677" s="19" t="s">
        <v>12574</v>
      </c>
      <c r="D4677" s="42" t="str">
        <f t="shared" si="341"/>
        <v>https://rmda.kulib.kyoto-u.ac.jp/item/rb00002938?page=453</v>
      </c>
      <c r="E4677" s="22"/>
      <c r="F4677" s="22"/>
      <c r="G4677" s="22"/>
    </row>
    <row r="4678" spans="1:7" x14ac:dyDescent="0.15">
      <c r="A4678" s="41" t="s">
        <v>9307</v>
      </c>
      <c r="B4678" s="25" t="s">
        <v>12575</v>
      </c>
      <c r="C4678" s="19" t="s">
        <v>12576</v>
      </c>
      <c r="D4678" s="42" t="str">
        <f t="shared" si="341"/>
        <v>https://rmda.kulib.kyoto-u.ac.jp/item/rb00002938?page=453</v>
      </c>
      <c r="E4678" s="22"/>
      <c r="F4678" s="22"/>
      <c r="G4678" s="22"/>
    </row>
    <row r="4679" spans="1:7" x14ac:dyDescent="0.15">
      <c r="A4679" s="41" t="s">
        <v>9307</v>
      </c>
      <c r="B4679" s="25" t="s">
        <v>12577</v>
      </c>
      <c r="C4679" s="19" t="s">
        <v>12578</v>
      </c>
      <c r="D4679" s="42" t="str">
        <f t="shared" si="341"/>
        <v>https://rmda.kulib.kyoto-u.ac.jp/item/rb00002938?page=453</v>
      </c>
      <c r="E4679" s="22"/>
      <c r="F4679" s="22"/>
      <c r="G4679" s="22"/>
    </row>
    <row r="4680" spans="1:7" x14ac:dyDescent="0.15">
      <c r="A4680" s="41" t="s">
        <v>9307</v>
      </c>
      <c r="B4680" s="25" t="s">
        <v>12579</v>
      </c>
      <c r="C4680" s="19" t="s">
        <v>12580</v>
      </c>
      <c r="D4680" s="42" t="str">
        <f t="shared" si="341"/>
        <v>https://rmda.kulib.kyoto-u.ac.jp/item/rb00002938?page=453</v>
      </c>
      <c r="E4680" s="22"/>
      <c r="F4680" s="22"/>
      <c r="G4680" s="22"/>
    </row>
    <row r="4681" spans="1:7" x14ac:dyDescent="0.15">
      <c r="A4681" s="41" t="s">
        <v>9307</v>
      </c>
      <c r="B4681" s="25" t="s">
        <v>10263</v>
      </c>
      <c r="C4681" s="19" t="s">
        <v>12581</v>
      </c>
      <c r="D4681" s="42" t="str">
        <f t="shared" ref="D4681:D4688" si="342">HYPERLINK("https://rmda.kulib.kyoto-u.ac.jp/item/rb00002938?page=454")</f>
        <v>https://rmda.kulib.kyoto-u.ac.jp/item/rb00002938?page=454</v>
      </c>
      <c r="E4681" s="22"/>
      <c r="F4681" s="22"/>
      <c r="G4681" s="22"/>
    </row>
    <row r="4682" spans="1:7" x14ac:dyDescent="0.15">
      <c r="A4682" s="41" t="s">
        <v>9307</v>
      </c>
      <c r="B4682" s="25" t="s">
        <v>12582</v>
      </c>
      <c r="C4682" s="19" t="s">
        <v>12583</v>
      </c>
      <c r="D4682" s="42" t="str">
        <f t="shared" si="342"/>
        <v>https://rmda.kulib.kyoto-u.ac.jp/item/rb00002938?page=454</v>
      </c>
      <c r="E4682" s="22"/>
      <c r="F4682" s="22"/>
      <c r="G4682" s="22"/>
    </row>
    <row r="4683" spans="1:7" x14ac:dyDescent="0.15">
      <c r="A4683" s="41" t="s">
        <v>9307</v>
      </c>
      <c r="B4683" s="25" t="s">
        <v>12584</v>
      </c>
      <c r="C4683" s="19" t="s">
        <v>12585</v>
      </c>
      <c r="D4683" s="42" t="str">
        <f t="shared" si="342"/>
        <v>https://rmda.kulib.kyoto-u.ac.jp/item/rb00002938?page=454</v>
      </c>
      <c r="E4683" s="22"/>
      <c r="F4683" s="22"/>
      <c r="G4683" s="22"/>
    </row>
    <row r="4684" spans="1:7" x14ac:dyDescent="0.15">
      <c r="A4684" s="41" t="s">
        <v>9307</v>
      </c>
      <c r="B4684" s="25" t="s">
        <v>11931</v>
      </c>
      <c r="C4684" s="19" t="s">
        <v>12586</v>
      </c>
      <c r="D4684" s="42" t="str">
        <f t="shared" si="342"/>
        <v>https://rmda.kulib.kyoto-u.ac.jp/item/rb00002938?page=454</v>
      </c>
      <c r="E4684" s="22"/>
      <c r="F4684" s="22"/>
      <c r="G4684" s="22"/>
    </row>
    <row r="4685" spans="1:7" x14ac:dyDescent="0.15">
      <c r="A4685" s="41" t="s">
        <v>9307</v>
      </c>
      <c r="B4685" s="25" t="s">
        <v>12587</v>
      </c>
      <c r="C4685" s="19" t="s">
        <v>12588</v>
      </c>
      <c r="D4685" s="42" t="str">
        <f t="shared" si="342"/>
        <v>https://rmda.kulib.kyoto-u.ac.jp/item/rb00002938?page=454</v>
      </c>
      <c r="E4685" s="22"/>
      <c r="F4685" s="22"/>
      <c r="G4685" s="22"/>
    </row>
    <row r="4686" spans="1:7" x14ac:dyDescent="0.15">
      <c r="A4686" s="41" t="s">
        <v>9307</v>
      </c>
      <c r="B4686" s="25" t="s">
        <v>12589</v>
      </c>
      <c r="C4686" s="19" t="s">
        <v>12590</v>
      </c>
      <c r="D4686" s="42" t="str">
        <f t="shared" si="342"/>
        <v>https://rmda.kulib.kyoto-u.ac.jp/item/rb00002938?page=454</v>
      </c>
      <c r="E4686" s="22"/>
      <c r="F4686" s="22"/>
      <c r="G4686" s="22"/>
    </row>
    <row r="4687" spans="1:7" x14ac:dyDescent="0.15">
      <c r="A4687" s="41" t="s">
        <v>9307</v>
      </c>
      <c r="B4687" s="25" t="s">
        <v>12591</v>
      </c>
      <c r="C4687" s="19" t="s">
        <v>12592</v>
      </c>
      <c r="D4687" s="42" t="str">
        <f t="shared" si="342"/>
        <v>https://rmda.kulib.kyoto-u.ac.jp/item/rb00002938?page=454</v>
      </c>
      <c r="E4687" s="22"/>
      <c r="F4687" s="22"/>
      <c r="G4687" s="22"/>
    </row>
    <row r="4688" spans="1:7" x14ac:dyDescent="0.15">
      <c r="A4688" s="41" t="s">
        <v>9307</v>
      </c>
      <c r="B4688" s="25" t="s">
        <v>10229</v>
      </c>
      <c r="C4688" s="19" t="s">
        <v>12593</v>
      </c>
      <c r="D4688" s="42" t="str">
        <f t="shared" si="342"/>
        <v>https://rmda.kulib.kyoto-u.ac.jp/item/rb00002938?page=454</v>
      </c>
      <c r="E4688" s="22"/>
      <c r="F4688" s="22"/>
      <c r="G4688" s="22"/>
    </row>
    <row r="4689" spans="1:7" x14ac:dyDescent="0.15">
      <c r="A4689" s="41" t="s">
        <v>9307</v>
      </c>
      <c r="B4689" s="25" t="s">
        <v>10231</v>
      </c>
      <c r="C4689" s="19" t="s">
        <v>12594</v>
      </c>
      <c r="D4689" s="42" t="str">
        <f t="shared" ref="D4689:D4694" si="343">HYPERLINK("https://rmda.kulib.kyoto-u.ac.jp/item/rb00002938?page=455")</f>
        <v>https://rmda.kulib.kyoto-u.ac.jp/item/rb00002938?page=455</v>
      </c>
      <c r="E4689" s="22"/>
      <c r="F4689" s="22"/>
      <c r="G4689" s="22"/>
    </row>
    <row r="4690" spans="1:7" x14ac:dyDescent="0.15">
      <c r="A4690" s="41" t="s">
        <v>9307</v>
      </c>
      <c r="B4690" s="25" t="s">
        <v>10233</v>
      </c>
      <c r="C4690" s="19" t="s">
        <v>12595</v>
      </c>
      <c r="D4690" s="42" t="str">
        <f t="shared" si="343"/>
        <v>https://rmda.kulib.kyoto-u.ac.jp/item/rb00002938?page=455</v>
      </c>
      <c r="E4690" s="22"/>
      <c r="F4690" s="22"/>
      <c r="G4690" s="22"/>
    </row>
    <row r="4691" spans="1:7" x14ac:dyDescent="0.15">
      <c r="A4691" s="41" t="s">
        <v>9307</v>
      </c>
      <c r="B4691" s="25" t="s">
        <v>10239</v>
      </c>
      <c r="C4691" s="19" t="s">
        <v>12596</v>
      </c>
      <c r="D4691" s="42" t="str">
        <f t="shared" si="343"/>
        <v>https://rmda.kulib.kyoto-u.ac.jp/item/rb00002938?page=455</v>
      </c>
      <c r="E4691" s="22"/>
      <c r="F4691" s="22"/>
      <c r="G4691" s="22"/>
    </row>
    <row r="4692" spans="1:7" x14ac:dyDescent="0.15">
      <c r="A4692" s="41" t="s">
        <v>9307</v>
      </c>
      <c r="B4692" s="25" t="s">
        <v>10241</v>
      </c>
      <c r="C4692" s="19" t="s">
        <v>12597</v>
      </c>
      <c r="D4692" s="42" t="str">
        <f t="shared" si="343"/>
        <v>https://rmda.kulib.kyoto-u.ac.jp/item/rb00002938?page=455</v>
      </c>
      <c r="E4692" s="22"/>
      <c r="F4692" s="22"/>
      <c r="G4692" s="22"/>
    </row>
    <row r="4693" spans="1:7" x14ac:dyDescent="0.15">
      <c r="A4693" s="41" t="s">
        <v>9307</v>
      </c>
      <c r="B4693" s="25" t="s">
        <v>10243</v>
      </c>
      <c r="C4693" s="19" t="s">
        <v>12598</v>
      </c>
      <c r="D4693" s="42" t="str">
        <f t="shared" si="343"/>
        <v>https://rmda.kulib.kyoto-u.ac.jp/item/rb00002938?page=455</v>
      </c>
      <c r="E4693" s="22"/>
      <c r="F4693" s="22"/>
      <c r="G4693" s="22"/>
    </row>
    <row r="4694" spans="1:7" x14ac:dyDescent="0.15">
      <c r="A4694" s="41" t="s">
        <v>9307</v>
      </c>
      <c r="B4694" s="25" t="s">
        <v>10247</v>
      </c>
      <c r="C4694" s="19" t="s">
        <v>12599</v>
      </c>
      <c r="D4694" s="42" t="str">
        <f t="shared" si="343"/>
        <v>https://rmda.kulib.kyoto-u.ac.jp/item/rb00002938?page=455</v>
      </c>
      <c r="E4694" s="22"/>
      <c r="F4694" s="22"/>
      <c r="G4694" s="22"/>
    </row>
    <row r="4695" spans="1:7" x14ac:dyDescent="0.15">
      <c r="A4695" s="41" t="s">
        <v>9307</v>
      </c>
      <c r="B4695" s="25" t="s">
        <v>10255</v>
      </c>
      <c r="C4695" s="19" t="s">
        <v>12600</v>
      </c>
      <c r="D4695" s="42" t="str">
        <f>HYPERLINK("https://rmda.kulib.kyoto-u.ac.jp/item/rb00002938?page=456")</f>
        <v>https://rmda.kulib.kyoto-u.ac.jp/item/rb00002938?page=456</v>
      </c>
      <c r="E4695" s="22"/>
      <c r="F4695" s="22"/>
      <c r="G4695" s="22"/>
    </row>
    <row r="4696" spans="1:7" x14ac:dyDescent="0.15">
      <c r="A4696" s="41" t="s">
        <v>9307</v>
      </c>
      <c r="B4696" s="25" t="s">
        <v>10416</v>
      </c>
      <c r="C4696" s="19" t="s">
        <v>12601</v>
      </c>
      <c r="D4696" s="42" t="str">
        <f>HYPERLINK("https://rmda.kulib.kyoto-u.ac.jp/item/rb00002938?page=456")</f>
        <v>https://rmda.kulib.kyoto-u.ac.jp/item/rb00002938?page=456</v>
      </c>
      <c r="E4696" s="22"/>
      <c r="F4696" s="22"/>
      <c r="G4696" s="22"/>
    </row>
    <row r="4697" spans="1:7" x14ac:dyDescent="0.15">
      <c r="A4697" s="41" t="s">
        <v>9307</v>
      </c>
      <c r="B4697" s="25" t="s">
        <v>10418</v>
      </c>
      <c r="C4697" s="19" t="s">
        <v>12602</v>
      </c>
      <c r="D4697" s="42" t="str">
        <f>HYPERLINK("https://rmda.kulib.kyoto-u.ac.jp/item/rb00002938?page=456")</f>
        <v>https://rmda.kulib.kyoto-u.ac.jp/item/rb00002938?page=456</v>
      </c>
      <c r="E4697" s="22"/>
      <c r="F4697" s="22"/>
      <c r="G4697" s="22"/>
    </row>
    <row r="4698" spans="1:7" x14ac:dyDescent="0.15">
      <c r="A4698" s="41" t="s">
        <v>9307</v>
      </c>
      <c r="B4698" s="25" t="s">
        <v>10422</v>
      </c>
      <c r="C4698" s="19" t="s">
        <v>12603</v>
      </c>
      <c r="D4698" s="42" t="str">
        <f t="shared" ref="D4698:D4705" si="344">HYPERLINK("https://rmda.kulib.kyoto-u.ac.jp/item/rb00002938?page=457")</f>
        <v>https://rmda.kulib.kyoto-u.ac.jp/item/rb00002938?page=457</v>
      </c>
      <c r="E4698" s="22"/>
      <c r="F4698" s="22"/>
      <c r="G4698" s="22"/>
    </row>
    <row r="4699" spans="1:7" x14ac:dyDescent="0.15">
      <c r="A4699" s="41" t="s">
        <v>9307</v>
      </c>
      <c r="B4699" s="25" t="s">
        <v>11927</v>
      </c>
      <c r="C4699" s="19" t="s">
        <v>12604</v>
      </c>
      <c r="D4699" s="42" t="str">
        <f t="shared" si="344"/>
        <v>https://rmda.kulib.kyoto-u.ac.jp/item/rb00002938?page=457</v>
      </c>
      <c r="E4699" s="22"/>
      <c r="F4699" s="22"/>
      <c r="G4699" s="22"/>
    </row>
    <row r="4700" spans="1:7" x14ac:dyDescent="0.15">
      <c r="A4700" s="41" t="s">
        <v>9307</v>
      </c>
      <c r="B4700" s="25" t="s">
        <v>10396</v>
      </c>
      <c r="C4700" s="19" t="s">
        <v>12605</v>
      </c>
      <c r="D4700" s="42" t="str">
        <f t="shared" si="344"/>
        <v>https://rmda.kulib.kyoto-u.ac.jp/item/rb00002938?page=457</v>
      </c>
      <c r="E4700" s="22"/>
      <c r="F4700" s="22"/>
      <c r="G4700" s="22"/>
    </row>
    <row r="4701" spans="1:7" x14ac:dyDescent="0.15">
      <c r="A4701" s="41" t="s">
        <v>9307</v>
      </c>
      <c r="B4701" s="25" t="s">
        <v>12606</v>
      </c>
      <c r="C4701" s="19" t="s">
        <v>12607</v>
      </c>
      <c r="D4701" s="42" t="str">
        <f t="shared" si="344"/>
        <v>https://rmda.kulib.kyoto-u.ac.jp/item/rb00002938?page=457</v>
      </c>
      <c r="E4701" s="22"/>
      <c r="F4701" s="22"/>
      <c r="G4701" s="22"/>
    </row>
    <row r="4702" spans="1:7" x14ac:dyDescent="0.15">
      <c r="A4702" s="41" t="s">
        <v>9307</v>
      </c>
      <c r="B4702" s="25" t="s">
        <v>12608</v>
      </c>
      <c r="C4702" s="19" t="s">
        <v>12609</v>
      </c>
      <c r="D4702" s="42" t="str">
        <f t="shared" si="344"/>
        <v>https://rmda.kulib.kyoto-u.ac.jp/item/rb00002938?page=457</v>
      </c>
      <c r="E4702" s="22"/>
      <c r="F4702" s="22"/>
      <c r="G4702" s="22"/>
    </row>
    <row r="4703" spans="1:7" x14ac:dyDescent="0.15">
      <c r="A4703" s="41" t="s">
        <v>9307</v>
      </c>
      <c r="B4703" s="25" t="s">
        <v>12610</v>
      </c>
      <c r="C4703" s="19" t="s">
        <v>12611</v>
      </c>
      <c r="D4703" s="42" t="str">
        <f t="shared" si="344"/>
        <v>https://rmda.kulib.kyoto-u.ac.jp/item/rb00002938?page=457</v>
      </c>
      <c r="E4703" s="22"/>
      <c r="F4703" s="22"/>
      <c r="G4703" s="22"/>
    </row>
    <row r="4704" spans="1:7" x14ac:dyDescent="0.15">
      <c r="A4704" s="41" t="s">
        <v>9307</v>
      </c>
      <c r="B4704" s="25" t="s">
        <v>12612</v>
      </c>
      <c r="C4704" s="19" t="s">
        <v>12613</v>
      </c>
      <c r="D4704" s="42" t="str">
        <f t="shared" si="344"/>
        <v>https://rmda.kulib.kyoto-u.ac.jp/item/rb00002938?page=457</v>
      </c>
      <c r="E4704" s="22"/>
      <c r="F4704" s="22"/>
      <c r="G4704" s="22"/>
    </row>
    <row r="4705" spans="1:7" x14ac:dyDescent="0.15">
      <c r="A4705" s="41" t="s">
        <v>9307</v>
      </c>
      <c r="B4705" s="25" t="s">
        <v>12614</v>
      </c>
      <c r="C4705" s="19" t="s">
        <v>12615</v>
      </c>
      <c r="D4705" s="42" t="str">
        <f t="shared" si="344"/>
        <v>https://rmda.kulib.kyoto-u.ac.jp/item/rb00002938?page=457</v>
      </c>
      <c r="E4705" s="22"/>
      <c r="F4705" s="22"/>
      <c r="G4705" s="22"/>
    </row>
    <row r="4706" spans="1:7" x14ac:dyDescent="0.15">
      <c r="A4706" s="41" t="s">
        <v>9307</v>
      </c>
      <c r="B4706" s="25" t="s">
        <v>12616</v>
      </c>
      <c r="C4706" s="19" t="s">
        <v>12617</v>
      </c>
      <c r="D4706" s="42" t="str">
        <f t="shared" ref="D4706:D4712" si="345">HYPERLINK("https://rmda.kulib.kyoto-u.ac.jp/item/rb00002938?page=458")</f>
        <v>https://rmda.kulib.kyoto-u.ac.jp/item/rb00002938?page=458</v>
      </c>
      <c r="E4706" s="22"/>
      <c r="F4706" s="22"/>
      <c r="G4706" s="22"/>
    </row>
    <row r="4707" spans="1:7" x14ac:dyDescent="0.15">
      <c r="A4707" s="41" t="s">
        <v>9307</v>
      </c>
      <c r="B4707" s="25" t="s">
        <v>12618</v>
      </c>
      <c r="C4707" s="19" t="s">
        <v>12619</v>
      </c>
      <c r="D4707" s="42" t="str">
        <f t="shared" si="345"/>
        <v>https://rmda.kulib.kyoto-u.ac.jp/item/rb00002938?page=458</v>
      </c>
      <c r="E4707" s="22"/>
      <c r="F4707" s="22"/>
      <c r="G4707" s="22"/>
    </row>
    <row r="4708" spans="1:7" x14ac:dyDescent="0.15">
      <c r="A4708" s="41" t="s">
        <v>9307</v>
      </c>
      <c r="B4708" s="25" t="s">
        <v>12620</v>
      </c>
      <c r="C4708" s="19" t="s">
        <v>12621</v>
      </c>
      <c r="D4708" s="42" t="str">
        <f t="shared" si="345"/>
        <v>https://rmda.kulib.kyoto-u.ac.jp/item/rb00002938?page=458</v>
      </c>
      <c r="E4708" s="22"/>
      <c r="F4708" s="22"/>
      <c r="G4708" s="22"/>
    </row>
    <row r="4709" spans="1:7" x14ac:dyDescent="0.15">
      <c r="A4709" s="41" t="s">
        <v>9307</v>
      </c>
      <c r="B4709" s="25" t="s">
        <v>12622</v>
      </c>
      <c r="C4709" s="19" t="s">
        <v>12623</v>
      </c>
      <c r="D4709" s="42" t="str">
        <f t="shared" si="345"/>
        <v>https://rmda.kulib.kyoto-u.ac.jp/item/rb00002938?page=458</v>
      </c>
      <c r="E4709" s="22"/>
      <c r="F4709" s="22"/>
      <c r="G4709" s="22"/>
    </row>
    <row r="4710" spans="1:7" x14ac:dyDescent="0.15">
      <c r="A4710" s="41" t="s">
        <v>9307</v>
      </c>
      <c r="B4710" s="25" t="s">
        <v>12624</v>
      </c>
      <c r="C4710" s="19" t="s">
        <v>12625</v>
      </c>
      <c r="D4710" s="42" t="str">
        <f t="shared" si="345"/>
        <v>https://rmda.kulib.kyoto-u.ac.jp/item/rb00002938?page=458</v>
      </c>
      <c r="E4710" s="22"/>
      <c r="F4710" s="22"/>
      <c r="G4710" s="22"/>
    </row>
    <row r="4711" spans="1:7" x14ac:dyDescent="0.15">
      <c r="A4711" s="41" t="s">
        <v>9307</v>
      </c>
      <c r="B4711" s="25" t="s">
        <v>12626</v>
      </c>
      <c r="C4711" s="19" t="s">
        <v>12627</v>
      </c>
      <c r="D4711" s="42" t="str">
        <f t="shared" si="345"/>
        <v>https://rmda.kulib.kyoto-u.ac.jp/item/rb00002938?page=458</v>
      </c>
      <c r="E4711" s="22"/>
      <c r="F4711" s="22"/>
      <c r="G4711" s="22"/>
    </row>
    <row r="4712" spans="1:7" x14ac:dyDescent="0.15">
      <c r="A4712" s="41" t="s">
        <v>9307</v>
      </c>
      <c r="B4712" s="25" t="s">
        <v>10914</v>
      </c>
      <c r="C4712" s="19" t="s">
        <v>12628</v>
      </c>
      <c r="D4712" s="42" t="str">
        <f t="shared" si="345"/>
        <v>https://rmda.kulib.kyoto-u.ac.jp/item/rb00002938?page=458</v>
      </c>
      <c r="E4712" s="22"/>
      <c r="F4712" s="22"/>
      <c r="G4712" s="22"/>
    </row>
    <row r="4713" spans="1:7" x14ac:dyDescent="0.15">
      <c r="A4713" s="41" t="s">
        <v>9307</v>
      </c>
      <c r="B4713" s="25" t="s">
        <v>11460</v>
      </c>
      <c r="C4713" s="19" t="s">
        <v>12629</v>
      </c>
      <c r="D4713" s="42" t="str">
        <f t="shared" ref="D4713:D4721" si="346">HYPERLINK("https://rmda.kulib.kyoto-u.ac.jp/item/rb00002938?page=459")</f>
        <v>https://rmda.kulib.kyoto-u.ac.jp/item/rb00002938?page=459</v>
      </c>
      <c r="E4713" s="22"/>
      <c r="F4713" s="22"/>
      <c r="G4713" s="22"/>
    </row>
    <row r="4714" spans="1:7" x14ac:dyDescent="0.15">
      <c r="A4714" s="41" t="s">
        <v>9307</v>
      </c>
      <c r="B4714" s="25" t="s">
        <v>12630</v>
      </c>
      <c r="C4714" s="19" t="s">
        <v>12631</v>
      </c>
      <c r="D4714" s="42" t="str">
        <f t="shared" si="346"/>
        <v>https://rmda.kulib.kyoto-u.ac.jp/item/rb00002938?page=459</v>
      </c>
      <c r="E4714" s="22"/>
      <c r="F4714" s="22"/>
      <c r="G4714" s="22"/>
    </row>
    <row r="4715" spans="1:7" x14ac:dyDescent="0.15">
      <c r="A4715" s="41" t="s">
        <v>9307</v>
      </c>
      <c r="B4715" s="25" t="s">
        <v>12632</v>
      </c>
      <c r="C4715" s="19" t="s">
        <v>12633</v>
      </c>
      <c r="D4715" s="42" t="str">
        <f t="shared" si="346"/>
        <v>https://rmda.kulib.kyoto-u.ac.jp/item/rb00002938?page=459</v>
      </c>
      <c r="E4715" s="22"/>
      <c r="F4715" s="22"/>
      <c r="G4715" s="22"/>
    </row>
    <row r="4716" spans="1:7" x14ac:dyDescent="0.15">
      <c r="A4716" s="41" t="s">
        <v>9307</v>
      </c>
      <c r="B4716" s="25" t="s">
        <v>12634</v>
      </c>
      <c r="C4716" s="19" t="s">
        <v>12635</v>
      </c>
      <c r="D4716" s="42" t="str">
        <f t="shared" si="346"/>
        <v>https://rmda.kulib.kyoto-u.ac.jp/item/rb00002938?page=459</v>
      </c>
      <c r="E4716" s="22"/>
      <c r="F4716" s="22"/>
      <c r="G4716" s="22"/>
    </row>
    <row r="4717" spans="1:7" x14ac:dyDescent="0.15">
      <c r="A4717" s="41" t="s">
        <v>9307</v>
      </c>
      <c r="B4717" s="25" t="s">
        <v>12636</v>
      </c>
      <c r="C4717" s="19" t="s">
        <v>12637</v>
      </c>
      <c r="D4717" s="42" t="str">
        <f t="shared" si="346"/>
        <v>https://rmda.kulib.kyoto-u.ac.jp/item/rb00002938?page=459</v>
      </c>
      <c r="E4717" s="22"/>
      <c r="F4717" s="22"/>
      <c r="G4717" s="22"/>
    </row>
    <row r="4718" spans="1:7" x14ac:dyDescent="0.15">
      <c r="A4718" s="41" t="s">
        <v>9307</v>
      </c>
      <c r="B4718" s="25" t="s">
        <v>11584</v>
      </c>
      <c r="C4718" s="19" t="s">
        <v>12638</v>
      </c>
      <c r="D4718" s="42" t="str">
        <f t="shared" si="346"/>
        <v>https://rmda.kulib.kyoto-u.ac.jp/item/rb00002938?page=459</v>
      </c>
      <c r="E4718" s="22"/>
      <c r="F4718" s="22"/>
      <c r="G4718" s="22"/>
    </row>
    <row r="4719" spans="1:7" x14ac:dyDescent="0.15">
      <c r="A4719" s="41" t="s">
        <v>9307</v>
      </c>
      <c r="B4719" s="25" t="s">
        <v>12639</v>
      </c>
      <c r="C4719" s="19" t="s">
        <v>12640</v>
      </c>
      <c r="D4719" s="42" t="str">
        <f t="shared" si="346"/>
        <v>https://rmda.kulib.kyoto-u.ac.jp/item/rb00002938?page=459</v>
      </c>
      <c r="E4719" s="22"/>
      <c r="F4719" s="22"/>
      <c r="G4719" s="22"/>
    </row>
    <row r="4720" spans="1:7" x14ac:dyDescent="0.15">
      <c r="A4720" s="41" t="s">
        <v>9307</v>
      </c>
      <c r="B4720" s="25" t="s">
        <v>11368</v>
      </c>
      <c r="C4720" s="19" t="s">
        <v>12641</v>
      </c>
      <c r="D4720" s="42" t="str">
        <f t="shared" si="346"/>
        <v>https://rmda.kulib.kyoto-u.ac.jp/item/rb00002938?page=459</v>
      </c>
      <c r="E4720" s="22"/>
      <c r="F4720" s="22"/>
      <c r="G4720" s="22"/>
    </row>
    <row r="4721" spans="1:7" x14ac:dyDescent="0.15">
      <c r="A4721" s="41" t="s">
        <v>9307</v>
      </c>
      <c r="B4721" s="25" t="s">
        <v>12642</v>
      </c>
      <c r="C4721" s="19" t="s">
        <v>12643</v>
      </c>
      <c r="D4721" s="42" t="str">
        <f t="shared" si="346"/>
        <v>https://rmda.kulib.kyoto-u.ac.jp/item/rb00002938?page=459</v>
      </c>
      <c r="E4721" s="22"/>
      <c r="F4721" s="22"/>
      <c r="G4721" s="22"/>
    </row>
    <row r="4722" spans="1:7" x14ac:dyDescent="0.15">
      <c r="A4722" s="41" t="s">
        <v>9307</v>
      </c>
      <c r="B4722" s="25" t="s">
        <v>11316</v>
      </c>
      <c r="C4722" s="19" t="s">
        <v>12644</v>
      </c>
      <c r="D4722" s="42" t="str">
        <f t="shared" ref="D4722:D4727" si="347">HYPERLINK("https://rmda.kulib.kyoto-u.ac.jp/item/rb00002938?page=460")</f>
        <v>https://rmda.kulib.kyoto-u.ac.jp/item/rb00002938?page=460</v>
      </c>
      <c r="E4722" s="22"/>
      <c r="F4722" s="22"/>
      <c r="G4722" s="22"/>
    </row>
    <row r="4723" spans="1:7" x14ac:dyDescent="0.15">
      <c r="A4723" s="41" t="s">
        <v>9307</v>
      </c>
      <c r="B4723" s="25" t="s">
        <v>11508</v>
      </c>
      <c r="C4723" s="19" t="s">
        <v>12645</v>
      </c>
      <c r="D4723" s="42" t="str">
        <f t="shared" si="347"/>
        <v>https://rmda.kulib.kyoto-u.ac.jp/item/rb00002938?page=460</v>
      </c>
      <c r="E4723" s="22"/>
      <c r="F4723" s="22"/>
      <c r="G4723" s="22"/>
    </row>
    <row r="4724" spans="1:7" x14ac:dyDescent="0.15">
      <c r="A4724" s="41" t="s">
        <v>9307</v>
      </c>
      <c r="B4724" s="25" t="s">
        <v>12646</v>
      </c>
      <c r="C4724" s="19" t="s">
        <v>12647</v>
      </c>
      <c r="D4724" s="42" t="str">
        <f t="shared" si="347"/>
        <v>https://rmda.kulib.kyoto-u.ac.jp/item/rb00002938?page=460</v>
      </c>
      <c r="E4724" s="22"/>
      <c r="F4724" s="22"/>
      <c r="G4724" s="22"/>
    </row>
    <row r="4725" spans="1:7" ht="18.75" x14ac:dyDescent="0.15">
      <c r="A4725" s="41" t="s">
        <v>9307</v>
      </c>
      <c r="B4725" s="25" t="s">
        <v>12648</v>
      </c>
      <c r="C4725" s="19" t="s">
        <v>12649</v>
      </c>
      <c r="D4725" s="42" t="str">
        <f t="shared" si="347"/>
        <v>https://rmda.kulib.kyoto-u.ac.jp/item/rb00002938?page=460</v>
      </c>
      <c r="E4725" s="22"/>
      <c r="F4725" s="22"/>
      <c r="G4725" s="22"/>
    </row>
    <row r="4726" spans="1:7" x14ac:dyDescent="0.15">
      <c r="A4726" s="41" t="s">
        <v>9307</v>
      </c>
      <c r="B4726" s="25" t="s">
        <v>11498</v>
      </c>
      <c r="C4726" s="19" t="s">
        <v>12650</v>
      </c>
      <c r="D4726" s="42" t="str">
        <f t="shared" si="347"/>
        <v>https://rmda.kulib.kyoto-u.ac.jp/item/rb00002938?page=460</v>
      </c>
      <c r="E4726" s="22"/>
      <c r="F4726" s="22"/>
      <c r="G4726" s="22"/>
    </row>
    <row r="4727" spans="1:7" x14ac:dyDescent="0.15">
      <c r="A4727" s="41" t="s">
        <v>9307</v>
      </c>
      <c r="B4727" s="25" t="s">
        <v>11476</v>
      </c>
      <c r="C4727" s="19" t="s">
        <v>12651</v>
      </c>
      <c r="D4727" s="42" t="str">
        <f t="shared" si="347"/>
        <v>https://rmda.kulib.kyoto-u.ac.jp/item/rb00002938?page=460</v>
      </c>
      <c r="E4727" s="22"/>
      <c r="F4727" s="22"/>
      <c r="G4727" s="22"/>
    </row>
    <row r="4728" spans="1:7" x14ac:dyDescent="0.15">
      <c r="A4728" s="41" t="s">
        <v>9307</v>
      </c>
      <c r="B4728" s="25" t="s">
        <v>11192</v>
      </c>
      <c r="C4728" s="19" t="s">
        <v>12652</v>
      </c>
      <c r="D4728" s="42" t="str">
        <f t="shared" ref="D4728:D4737" si="348">HYPERLINK("https://rmda.kulib.kyoto-u.ac.jp/item/rb00002938?page=461")</f>
        <v>https://rmda.kulib.kyoto-u.ac.jp/item/rb00002938?page=461</v>
      </c>
      <c r="E4728" s="22"/>
      <c r="F4728" s="22"/>
      <c r="G4728" s="22"/>
    </row>
    <row r="4729" spans="1:7" x14ac:dyDescent="0.15">
      <c r="A4729" s="41" t="s">
        <v>9307</v>
      </c>
      <c r="B4729" s="25" t="s">
        <v>12653</v>
      </c>
      <c r="C4729" s="19" t="s">
        <v>12654</v>
      </c>
      <c r="D4729" s="42" t="str">
        <f t="shared" si="348"/>
        <v>https://rmda.kulib.kyoto-u.ac.jp/item/rb00002938?page=461</v>
      </c>
      <c r="E4729" s="22"/>
      <c r="F4729" s="22"/>
      <c r="G4729" s="22"/>
    </row>
    <row r="4730" spans="1:7" x14ac:dyDescent="0.15">
      <c r="A4730" s="41" t="s">
        <v>9307</v>
      </c>
      <c r="B4730" s="25" t="s">
        <v>12655</v>
      </c>
      <c r="C4730" s="19" t="s">
        <v>12656</v>
      </c>
      <c r="D4730" s="42" t="str">
        <f t="shared" si="348"/>
        <v>https://rmda.kulib.kyoto-u.ac.jp/item/rb00002938?page=461</v>
      </c>
      <c r="E4730" s="22"/>
      <c r="F4730" s="22"/>
      <c r="G4730" s="22"/>
    </row>
    <row r="4731" spans="1:7" x14ac:dyDescent="0.15">
      <c r="A4731" s="41" t="s">
        <v>9307</v>
      </c>
      <c r="B4731" s="25" t="s">
        <v>12657</v>
      </c>
      <c r="C4731" s="19" t="s">
        <v>12658</v>
      </c>
      <c r="D4731" s="42" t="str">
        <f t="shared" si="348"/>
        <v>https://rmda.kulib.kyoto-u.ac.jp/item/rb00002938?page=461</v>
      </c>
      <c r="E4731" s="22"/>
      <c r="F4731" s="22"/>
      <c r="G4731" s="22"/>
    </row>
    <row r="4732" spans="1:7" x14ac:dyDescent="0.15">
      <c r="A4732" s="41" t="s">
        <v>9307</v>
      </c>
      <c r="B4732" s="25" t="s">
        <v>12659</v>
      </c>
      <c r="C4732" s="19" t="s">
        <v>12660</v>
      </c>
      <c r="D4732" s="42" t="str">
        <f t="shared" si="348"/>
        <v>https://rmda.kulib.kyoto-u.ac.jp/item/rb00002938?page=461</v>
      </c>
      <c r="E4732" s="22"/>
      <c r="F4732" s="22"/>
      <c r="G4732" s="22"/>
    </row>
    <row r="4733" spans="1:7" x14ac:dyDescent="0.15">
      <c r="A4733" s="41" t="s">
        <v>9307</v>
      </c>
      <c r="B4733" s="25" t="s">
        <v>12661</v>
      </c>
      <c r="C4733" s="19" t="s">
        <v>12662</v>
      </c>
      <c r="D4733" s="42" t="str">
        <f t="shared" si="348"/>
        <v>https://rmda.kulib.kyoto-u.ac.jp/item/rb00002938?page=461</v>
      </c>
      <c r="E4733" s="22"/>
      <c r="F4733" s="22"/>
      <c r="G4733" s="22"/>
    </row>
    <row r="4734" spans="1:7" x14ac:dyDescent="0.15">
      <c r="A4734" s="41" t="s">
        <v>9307</v>
      </c>
      <c r="B4734" s="25" t="s">
        <v>12663</v>
      </c>
      <c r="C4734" s="19" t="s">
        <v>12664</v>
      </c>
      <c r="D4734" s="42" t="str">
        <f t="shared" si="348"/>
        <v>https://rmda.kulib.kyoto-u.ac.jp/item/rb00002938?page=461</v>
      </c>
      <c r="E4734" s="22"/>
      <c r="F4734" s="22"/>
      <c r="G4734" s="22"/>
    </row>
    <row r="4735" spans="1:7" x14ac:dyDescent="0.15">
      <c r="A4735" s="41" t="s">
        <v>9307</v>
      </c>
      <c r="B4735" s="25" t="s">
        <v>12665</v>
      </c>
      <c r="C4735" s="19" t="s">
        <v>12666</v>
      </c>
      <c r="D4735" s="42" t="str">
        <f t="shared" si="348"/>
        <v>https://rmda.kulib.kyoto-u.ac.jp/item/rb00002938?page=461</v>
      </c>
      <c r="E4735" s="22"/>
      <c r="F4735" s="22"/>
      <c r="G4735" s="22"/>
    </row>
    <row r="4736" spans="1:7" x14ac:dyDescent="0.15">
      <c r="A4736" s="41" t="s">
        <v>9307</v>
      </c>
      <c r="B4736" s="25" t="s">
        <v>12667</v>
      </c>
      <c r="C4736" s="19" t="s">
        <v>12668</v>
      </c>
      <c r="D4736" s="42" t="str">
        <f t="shared" si="348"/>
        <v>https://rmda.kulib.kyoto-u.ac.jp/item/rb00002938?page=461</v>
      </c>
      <c r="E4736" s="22"/>
      <c r="F4736" s="22"/>
      <c r="G4736" s="22"/>
    </row>
    <row r="4737" spans="1:7" x14ac:dyDescent="0.15">
      <c r="A4737" s="41" t="s">
        <v>9307</v>
      </c>
      <c r="B4737" s="25" t="s">
        <v>12669</v>
      </c>
      <c r="C4737" s="19" t="s">
        <v>12670</v>
      </c>
      <c r="D4737" s="42" t="str">
        <f t="shared" si="348"/>
        <v>https://rmda.kulib.kyoto-u.ac.jp/item/rb00002938?page=461</v>
      </c>
      <c r="E4737" s="22"/>
      <c r="F4737" s="22"/>
      <c r="G4737" s="22"/>
    </row>
    <row r="4738" spans="1:7" x14ac:dyDescent="0.15">
      <c r="A4738" s="41" t="s">
        <v>9307</v>
      </c>
      <c r="B4738" s="25" t="s">
        <v>12671</v>
      </c>
      <c r="C4738" s="19" t="s">
        <v>12672</v>
      </c>
      <c r="D4738" s="42" t="str">
        <f t="shared" ref="D4738:D4745" si="349">HYPERLINK("https://rmda.kulib.kyoto-u.ac.jp/item/rb00002938?page=462")</f>
        <v>https://rmda.kulib.kyoto-u.ac.jp/item/rb00002938?page=462</v>
      </c>
      <c r="E4738" s="22"/>
      <c r="F4738" s="22"/>
      <c r="G4738" s="22"/>
    </row>
    <row r="4739" spans="1:7" x14ac:dyDescent="0.15">
      <c r="A4739" s="41" t="s">
        <v>9307</v>
      </c>
      <c r="B4739" s="25" t="s">
        <v>12673</v>
      </c>
      <c r="C4739" s="19" t="s">
        <v>12674</v>
      </c>
      <c r="D4739" s="42" t="str">
        <f t="shared" si="349"/>
        <v>https://rmda.kulib.kyoto-u.ac.jp/item/rb00002938?page=462</v>
      </c>
      <c r="E4739" s="22"/>
      <c r="F4739" s="22"/>
      <c r="G4739" s="22"/>
    </row>
    <row r="4740" spans="1:7" x14ac:dyDescent="0.15">
      <c r="A4740" s="41" t="s">
        <v>9307</v>
      </c>
      <c r="B4740" s="25" t="s">
        <v>12675</v>
      </c>
      <c r="C4740" s="19" t="s">
        <v>12676</v>
      </c>
      <c r="D4740" s="42" t="str">
        <f t="shared" si="349"/>
        <v>https://rmda.kulib.kyoto-u.ac.jp/item/rb00002938?page=462</v>
      </c>
      <c r="E4740" s="22"/>
      <c r="F4740" s="22"/>
      <c r="G4740" s="22"/>
    </row>
    <row r="4741" spans="1:7" x14ac:dyDescent="0.15">
      <c r="A4741" s="41" t="s">
        <v>9307</v>
      </c>
      <c r="B4741" s="25" t="s">
        <v>12677</v>
      </c>
      <c r="C4741" s="19" t="s">
        <v>12678</v>
      </c>
      <c r="D4741" s="42" t="str">
        <f t="shared" si="349"/>
        <v>https://rmda.kulib.kyoto-u.ac.jp/item/rb00002938?page=462</v>
      </c>
      <c r="E4741" s="22"/>
      <c r="F4741" s="22"/>
      <c r="G4741" s="22"/>
    </row>
    <row r="4742" spans="1:7" x14ac:dyDescent="0.15">
      <c r="A4742" s="41" t="s">
        <v>9307</v>
      </c>
      <c r="B4742" s="25" t="s">
        <v>11044</v>
      </c>
      <c r="C4742" s="19" t="s">
        <v>12679</v>
      </c>
      <c r="D4742" s="42" t="str">
        <f t="shared" si="349"/>
        <v>https://rmda.kulib.kyoto-u.ac.jp/item/rb00002938?page=462</v>
      </c>
      <c r="E4742" s="22"/>
      <c r="F4742" s="22"/>
      <c r="G4742" s="22"/>
    </row>
    <row r="4743" spans="1:7" x14ac:dyDescent="0.15">
      <c r="A4743" s="41" t="s">
        <v>9307</v>
      </c>
      <c r="B4743" s="25" t="s">
        <v>12680</v>
      </c>
      <c r="C4743" s="19" t="s">
        <v>12681</v>
      </c>
      <c r="D4743" s="42" t="str">
        <f t="shared" si="349"/>
        <v>https://rmda.kulib.kyoto-u.ac.jp/item/rb00002938?page=462</v>
      </c>
      <c r="E4743" s="22"/>
      <c r="F4743" s="22"/>
      <c r="G4743" s="22"/>
    </row>
    <row r="4744" spans="1:7" x14ac:dyDescent="0.15">
      <c r="A4744" s="41" t="s">
        <v>9307</v>
      </c>
      <c r="B4744" s="25" t="s">
        <v>12682</v>
      </c>
      <c r="C4744" s="19" t="s">
        <v>12683</v>
      </c>
      <c r="D4744" s="42" t="str">
        <f t="shared" si="349"/>
        <v>https://rmda.kulib.kyoto-u.ac.jp/item/rb00002938?page=462</v>
      </c>
      <c r="E4744" s="22"/>
      <c r="F4744" s="22"/>
      <c r="G4744" s="22"/>
    </row>
    <row r="4745" spans="1:7" x14ac:dyDescent="0.15">
      <c r="A4745" s="41" t="s">
        <v>9307</v>
      </c>
      <c r="B4745" s="25" t="s">
        <v>12684</v>
      </c>
      <c r="C4745" s="19" t="s">
        <v>12685</v>
      </c>
      <c r="D4745" s="42" t="str">
        <f t="shared" si="349"/>
        <v>https://rmda.kulib.kyoto-u.ac.jp/item/rb00002938?page=462</v>
      </c>
      <c r="E4745" s="22"/>
      <c r="F4745" s="22"/>
      <c r="G4745" s="22"/>
    </row>
    <row r="4746" spans="1:7" x14ac:dyDescent="0.15">
      <c r="A4746" s="41" t="s">
        <v>9307</v>
      </c>
      <c r="B4746" s="25" t="s">
        <v>12686</v>
      </c>
      <c r="C4746" s="19" t="s">
        <v>12687</v>
      </c>
      <c r="D4746" s="42" t="str">
        <f>HYPERLINK("https://rmda.kulib.kyoto-u.ac.jp/item/rb00002938?page=463")</f>
        <v>https://rmda.kulib.kyoto-u.ac.jp/item/rb00002938?page=463</v>
      </c>
      <c r="E4746" s="22"/>
      <c r="F4746" s="22"/>
      <c r="G4746" s="22"/>
    </row>
    <row r="4747" spans="1:7" x14ac:dyDescent="0.15">
      <c r="A4747" s="19" t="s">
        <v>12688</v>
      </c>
      <c r="B4747" s="19" t="s">
        <v>12689</v>
      </c>
      <c r="C4747" s="19">
        <v>4</v>
      </c>
      <c r="D4747" s="19" t="str">
        <f>HYPERLINK("https://rmda.kulib.kyoto-u.ac.jp/item/rb00003456?page=4")</f>
        <v>https://rmda.kulib.kyoto-u.ac.jp/item/rb00003456?page=4</v>
      </c>
      <c r="E4747" s="22"/>
      <c r="F4747" s="22"/>
      <c r="G4747" s="22"/>
    </row>
    <row r="4748" spans="1:7" x14ac:dyDescent="0.15">
      <c r="A4748" s="19" t="s">
        <v>12688</v>
      </c>
      <c r="B4748" s="19" t="s">
        <v>12690</v>
      </c>
      <c r="C4748" s="19">
        <v>5</v>
      </c>
      <c r="D4748" s="19" t="str">
        <f>HYPERLINK("https://rmda.kulib.kyoto-u.ac.jp/item/rb00003456?page=5")</f>
        <v>https://rmda.kulib.kyoto-u.ac.jp/item/rb00003456?page=5</v>
      </c>
      <c r="E4748" s="22"/>
      <c r="F4748" s="22"/>
      <c r="G4748" s="22"/>
    </row>
    <row r="4749" spans="1:7" x14ac:dyDescent="0.15">
      <c r="A4749" s="19" t="s">
        <v>12688</v>
      </c>
      <c r="B4749" s="19" t="s">
        <v>12691</v>
      </c>
      <c r="C4749" s="19">
        <v>8</v>
      </c>
      <c r="D4749" s="19" t="str">
        <f>HYPERLINK("https://rmda.kulib.kyoto-u.ac.jp/item/rb00003456?page=8")</f>
        <v>https://rmda.kulib.kyoto-u.ac.jp/item/rb00003456?page=8</v>
      </c>
      <c r="E4749" s="22"/>
      <c r="F4749" s="22"/>
      <c r="G4749" s="22"/>
    </row>
    <row r="4750" spans="1:7" x14ac:dyDescent="0.15">
      <c r="A4750" s="19" t="s">
        <v>12688</v>
      </c>
      <c r="B4750" s="19" t="s">
        <v>12692</v>
      </c>
      <c r="C4750" s="19">
        <v>8</v>
      </c>
      <c r="D4750" s="19" t="str">
        <f>HYPERLINK("https://rmda.kulib.kyoto-u.ac.jp/item/rb00003456?page=8")</f>
        <v>https://rmda.kulib.kyoto-u.ac.jp/item/rb00003456?page=8</v>
      </c>
      <c r="E4750" s="22"/>
      <c r="F4750" s="22"/>
      <c r="G4750" s="22"/>
    </row>
    <row r="4751" spans="1:7" x14ac:dyDescent="0.15">
      <c r="A4751" s="19" t="s">
        <v>12688</v>
      </c>
      <c r="B4751" s="19" t="s">
        <v>12693</v>
      </c>
      <c r="C4751" s="19">
        <v>8</v>
      </c>
      <c r="D4751" s="19" t="str">
        <f>HYPERLINK("https://rmda.kulib.kyoto-u.ac.jp/item/rb00003456?page=8")</f>
        <v>https://rmda.kulib.kyoto-u.ac.jp/item/rb00003456?page=8</v>
      </c>
      <c r="E4751" s="22"/>
      <c r="F4751" s="22"/>
      <c r="G4751" s="22"/>
    </row>
    <row r="4752" spans="1:7" x14ac:dyDescent="0.15">
      <c r="A4752" s="19" t="s">
        <v>12688</v>
      </c>
      <c r="B4752" s="19" t="s">
        <v>12694</v>
      </c>
      <c r="C4752" s="19">
        <v>8</v>
      </c>
      <c r="D4752" s="19" t="str">
        <f>HYPERLINK("https://rmda.kulib.kyoto-u.ac.jp/item/rb00003456?page=8")</f>
        <v>https://rmda.kulib.kyoto-u.ac.jp/item/rb00003456?page=8</v>
      </c>
      <c r="E4752" s="22"/>
      <c r="F4752" s="22"/>
      <c r="G4752" s="22"/>
    </row>
    <row r="4753" spans="1:7" x14ac:dyDescent="0.15">
      <c r="A4753" s="19" t="s">
        <v>12688</v>
      </c>
      <c r="B4753" s="19" t="s">
        <v>12695</v>
      </c>
      <c r="C4753" s="19">
        <v>11</v>
      </c>
      <c r="D4753" s="19" t="str">
        <f>HYPERLINK("https://rmda.kulib.kyoto-u.ac.jp/item/rb00003456?page=11")</f>
        <v>https://rmda.kulib.kyoto-u.ac.jp/item/rb00003456?page=11</v>
      </c>
      <c r="E4753" s="22"/>
      <c r="F4753" s="22"/>
      <c r="G4753" s="22"/>
    </row>
    <row r="4754" spans="1:7" x14ac:dyDescent="0.15">
      <c r="A4754" s="19" t="s">
        <v>12688</v>
      </c>
      <c r="B4754" s="19" t="s">
        <v>12696</v>
      </c>
      <c r="C4754" s="19">
        <v>12</v>
      </c>
      <c r="D4754" s="19" t="str">
        <f>HYPERLINK("https://rmda.kulib.kyoto-u.ac.jp/item/rb00003456?page=12")</f>
        <v>https://rmda.kulib.kyoto-u.ac.jp/item/rb00003456?page=12</v>
      </c>
      <c r="E4754" s="22"/>
      <c r="F4754" s="22"/>
      <c r="G4754" s="22"/>
    </row>
    <row r="4755" spans="1:7" x14ac:dyDescent="0.15">
      <c r="A4755" s="19" t="s">
        <v>12688</v>
      </c>
      <c r="B4755" s="19" t="s">
        <v>12697</v>
      </c>
      <c r="C4755" s="19">
        <v>12</v>
      </c>
      <c r="D4755" s="19" t="str">
        <f>HYPERLINK("https://rmda.kulib.kyoto-u.ac.jp/item/rb00003456?page=12")</f>
        <v>https://rmda.kulib.kyoto-u.ac.jp/item/rb00003456?page=12</v>
      </c>
      <c r="E4755" s="22"/>
      <c r="F4755" s="22"/>
      <c r="G4755" s="22"/>
    </row>
    <row r="4756" spans="1:7" x14ac:dyDescent="0.15">
      <c r="A4756" s="19" t="s">
        <v>12688</v>
      </c>
      <c r="B4756" s="19" t="s">
        <v>12698</v>
      </c>
      <c r="C4756" s="19">
        <v>12</v>
      </c>
      <c r="D4756" s="19" t="str">
        <f>HYPERLINK("https://rmda.kulib.kyoto-u.ac.jp/item/rb00003456?page=12")</f>
        <v>https://rmda.kulib.kyoto-u.ac.jp/item/rb00003456?page=12</v>
      </c>
      <c r="E4756" s="22"/>
      <c r="F4756" s="22"/>
      <c r="G4756" s="22"/>
    </row>
    <row r="4757" spans="1:7" x14ac:dyDescent="0.15">
      <c r="A4757" s="19" t="s">
        <v>12688</v>
      </c>
      <c r="B4757" s="19" t="s">
        <v>12699</v>
      </c>
      <c r="C4757" s="19">
        <v>12</v>
      </c>
      <c r="D4757" s="19" t="str">
        <f>HYPERLINK("https://rmda.kulib.kyoto-u.ac.jp/item/rb00003456?page=12")</f>
        <v>https://rmda.kulib.kyoto-u.ac.jp/item/rb00003456?page=12</v>
      </c>
      <c r="E4757" s="22"/>
      <c r="F4757" s="22"/>
      <c r="G4757" s="22"/>
    </row>
    <row r="4758" spans="1:7" x14ac:dyDescent="0.15">
      <c r="A4758" s="19" t="s">
        <v>12688</v>
      </c>
      <c r="B4758" s="19" t="s">
        <v>12700</v>
      </c>
      <c r="C4758" s="19">
        <v>13</v>
      </c>
      <c r="D4758" s="19" t="str">
        <f>HYPERLINK("https://rmda.kulib.kyoto-u.ac.jp/item/rb00003456?page=13")</f>
        <v>https://rmda.kulib.kyoto-u.ac.jp/item/rb00003456?page=13</v>
      </c>
      <c r="E4758" s="22"/>
      <c r="F4758" s="22"/>
      <c r="G4758" s="22"/>
    </row>
    <row r="4759" spans="1:7" x14ac:dyDescent="0.15">
      <c r="A4759" s="19" t="s">
        <v>12688</v>
      </c>
      <c r="B4759" s="19" t="s">
        <v>12701</v>
      </c>
      <c r="C4759" s="19">
        <v>16</v>
      </c>
      <c r="D4759" s="19" t="str">
        <f>HYPERLINK("https://rmda.kulib.kyoto-u.ac.jp/item/rb00003456?page=16")</f>
        <v>https://rmda.kulib.kyoto-u.ac.jp/item/rb00003456?page=16</v>
      </c>
      <c r="E4759" s="22"/>
      <c r="F4759" s="22"/>
      <c r="G4759" s="22"/>
    </row>
    <row r="4760" spans="1:7" x14ac:dyDescent="0.15">
      <c r="A4760" s="19" t="s">
        <v>12688</v>
      </c>
      <c r="B4760" s="19" t="s">
        <v>12702</v>
      </c>
      <c r="C4760" s="19">
        <v>16</v>
      </c>
      <c r="D4760" s="19" t="str">
        <f>HYPERLINK("https://rmda.kulib.kyoto-u.ac.jp/item/rb00003456?page=16")</f>
        <v>https://rmda.kulib.kyoto-u.ac.jp/item/rb00003456?page=16</v>
      </c>
      <c r="E4760" s="22"/>
      <c r="F4760" s="22"/>
      <c r="G4760" s="22"/>
    </row>
    <row r="4761" spans="1:7" x14ac:dyDescent="0.15">
      <c r="A4761" s="19" t="s">
        <v>12688</v>
      </c>
      <c r="B4761" s="20" t="s">
        <v>12703</v>
      </c>
      <c r="C4761" s="19">
        <v>16</v>
      </c>
      <c r="D4761" s="19" t="str">
        <f>HYPERLINK("https://rmda.kulib.kyoto-u.ac.jp/item/rb00003456?page=16")</f>
        <v>https://rmda.kulib.kyoto-u.ac.jp/item/rb00003456?page=16</v>
      </c>
      <c r="E4761" s="22"/>
      <c r="F4761" s="22"/>
      <c r="G4761" s="22"/>
    </row>
    <row r="4762" spans="1:7" x14ac:dyDescent="0.15">
      <c r="A4762" s="19" t="s">
        <v>12688</v>
      </c>
      <c r="B4762" s="19" t="s">
        <v>12704</v>
      </c>
      <c r="C4762" s="19">
        <v>16</v>
      </c>
      <c r="D4762" s="19" t="str">
        <f>HYPERLINK("https://rmda.kulib.kyoto-u.ac.jp/item/rb00003456?page=16")</f>
        <v>https://rmda.kulib.kyoto-u.ac.jp/item/rb00003456?page=16</v>
      </c>
      <c r="E4762" s="22"/>
      <c r="F4762" s="22"/>
      <c r="G4762" s="22"/>
    </row>
    <row r="4763" spans="1:7" x14ac:dyDescent="0.15">
      <c r="A4763" s="19" t="s">
        <v>12688</v>
      </c>
      <c r="B4763" s="19" t="s">
        <v>12705</v>
      </c>
      <c r="C4763" s="19">
        <v>17</v>
      </c>
      <c r="D4763" s="19" t="str">
        <f t="shared" ref="D4763:D4768" si="350">HYPERLINK("https://rmda.kulib.kyoto-u.ac.jp/item/rb00003456?page=17")</f>
        <v>https://rmda.kulib.kyoto-u.ac.jp/item/rb00003456?page=17</v>
      </c>
      <c r="E4763" s="22"/>
      <c r="F4763" s="22"/>
      <c r="G4763" s="22"/>
    </row>
    <row r="4764" spans="1:7" x14ac:dyDescent="0.15">
      <c r="A4764" s="19" t="s">
        <v>12688</v>
      </c>
      <c r="B4764" s="19" t="s">
        <v>12706</v>
      </c>
      <c r="C4764" s="19">
        <v>17</v>
      </c>
      <c r="D4764" s="19" t="str">
        <f t="shared" si="350"/>
        <v>https://rmda.kulib.kyoto-u.ac.jp/item/rb00003456?page=17</v>
      </c>
      <c r="E4764" s="22"/>
      <c r="F4764" s="22"/>
      <c r="G4764" s="22"/>
    </row>
    <row r="4765" spans="1:7" x14ac:dyDescent="0.15">
      <c r="A4765" s="19" t="s">
        <v>12688</v>
      </c>
      <c r="B4765" s="19" t="s">
        <v>12707</v>
      </c>
      <c r="C4765" s="19">
        <v>17</v>
      </c>
      <c r="D4765" s="19" t="str">
        <f t="shared" si="350"/>
        <v>https://rmda.kulib.kyoto-u.ac.jp/item/rb00003456?page=17</v>
      </c>
      <c r="E4765" s="22"/>
      <c r="F4765" s="22"/>
      <c r="G4765" s="22"/>
    </row>
    <row r="4766" spans="1:7" x14ac:dyDescent="0.15">
      <c r="A4766" s="19" t="s">
        <v>12688</v>
      </c>
      <c r="B4766" s="19" t="s">
        <v>12708</v>
      </c>
      <c r="C4766" s="19">
        <v>17</v>
      </c>
      <c r="D4766" s="19" t="str">
        <f t="shared" si="350"/>
        <v>https://rmda.kulib.kyoto-u.ac.jp/item/rb00003456?page=17</v>
      </c>
      <c r="E4766" s="22"/>
      <c r="F4766" s="22"/>
      <c r="G4766" s="22"/>
    </row>
    <row r="4767" spans="1:7" x14ac:dyDescent="0.15">
      <c r="A4767" s="19" t="s">
        <v>12688</v>
      </c>
      <c r="B4767" s="19" t="s">
        <v>12709</v>
      </c>
      <c r="C4767" s="19">
        <v>17</v>
      </c>
      <c r="D4767" s="19" t="str">
        <f t="shared" si="350"/>
        <v>https://rmda.kulib.kyoto-u.ac.jp/item/rb00003456?page=17</v>
      </c>
      <c r="E4767" s="22"/>
      <c r="F4767" s="22"/>
      <c r="G4767" s="22"/>
    </row>
    <row r="4768" spans="1:7" x14ac:dyDescent="0.15">
      <c r="A4768" s="19" t="s">
        <v>12688</v>
      </c>
      <c r="B4768" s="19" t="s">
        <v>12710</v>
      </c>
      <c r="C4768" s="19">
        <v>17</v>
      </c>
      <c r="D4768" s="19" t="str">
        <f t="shared" si="350"/>
        <v>https://rmda.kulib.kyoto-u.ac.jp/item/rb00003456?page=17</v>
      </c>
      <c r="E4768" s="22"/>
      <c r="F4768" s="22"/>
      <c r="G4768" s="22"/>
    </row>
    <row r="4769" spans="1:7" x14ac:dyDescent="0.15">
      <c r="A4769" s="19" t="s">
        <v>12688</v>
      </c>
      <c r="B4769" s="19" t="s">
        <v>12711</v>
      </c>
      <c r="C4769" s="19">
        <v>18</v>
      </c>
      <c r="D4769" s="19" t="str">
        <f>HYPERLINK("https://rmda.kulib.kyoto-u.ac.jp/item/rb00003456?page=18")</f>
        <v>https://rmda.kulib.kyoto-u.ac.jp/item/rb00003456?page=18</v>
      </c>
      <c r="E4769" s="22"/>
      <c r="F4769" s="22"/>
      <c r="G4769" s="22"/>
    </row>
    <row r="4770" spans="1:7" x14ac:dyDescent="0.15">
      <c r="A4770" s="19" t="s">
        <v>12688</v>
      </c>
      <c r="B4770" s="19" t="s">
        <v>12712</v>
      </c>
      <c r="C4770" s="19">
        <v>18</v>
      </c>
      <c r="D4770" s="19" t="str">
        <f>HYPERLINK("https://rmda.kulib.kyoto-u.ac.jp/item/rb00003456?page=18")</f>
        <v>https://rmda.kulib.kyoto-u.ac.jp/item/rb00003456?page=18</v>
      </c>
      <c r="E4770" s="22"/>
      <c r="F4770" s="22"/>
      <c r="G4770" s="22"/>
    </row>
    <row r="4771" spans="1:7" x14ac:dyDescent="0.15">
      <c r="A4771" s="19" t="s">
        <v>12688</v>
      </c>
      <c r="B4771" s="19" t="s">
        <v>12713</v>
      </c>
      <c r="C4771" s="19">
        <v>18</v>
      </c>
      <c r="D4771" s="19" t="str">
        <f>HYPERLINK("https://rmda.kulib.kyoto-u.ac.jp/item/rb00003456?page=18")</f>
        <v>https://rmda.kulib.kyoto-u.ac.jp/item/rb00003456?page=18</v>
      </c>
      <c r="E4771" s="22"/>
      <c r="F4771" s="22"/>
      <c r="G4771" s="22"/>
    </row>
    <row r="4772" spans="1:7" x14ac:dyDescent="0.15">
      <c r="A4772" s="19" t="s">
        <v>12688</v>
      </c>
      <c r="B4772" s="19" t="s">
        <v>12714</v>
      </c>
      <c r="C4772" s="19">
        <v>19</v>
      </c>
      <c r="D4772" s="19" t="str">
        <f>HYPERLINK("https://rmda.kulib.kyoto-u.ac.jp/item/rb00003456?page=19")</f>
        <v>https://rmda.kulib.kyoto-u.ac.jp/item/rb00003456?page=19</v>
      </c>
      <c r="E4772" s="22"/>
      <c r="F4772" s="22"/>
      <c r="G4772" s="22"/>
    </row>
    <row r="4773" spans="1:7" x14ac:dyDescent="0.15">
      <c r="A4773" s="19" t="s">
        <v>12688</v>
      </c>
      <c r="B4773" s="19" t="s">
        <v>12715</v>
      </c>
      <c r="C4773" s="19">
        <v>19</v>
      </c>
      <c r="D4773" s="19" t="str">
        <f>HYPERLINK("https://rmda.kulib.kyoto-u.ac.jp/item/rb00003456?page=19")</f>
        <v>https://rmda.kulib.kyoto-u.ac.jp/item/rb00003456?page=19</v>
      </c>
      <c r="E4773" s="22"/>
      <c r="F4773" s="22"/>
      <c r="G4773" s="22"/>
    </row>
    <row r="4774" spans="1:7" x14ac:dyDescent="0.15">
      <c r="A4774" s="19" t="s">
        <v>12688</v>
      </c>
      <c r="B4774" s="19" t="s">
        <v>12716</v>
      </c>
      <c r="C4774" s="19">
        <v>20</v>
      </c>
      <c r="D4774" s="19" t="str">
        <f>HYPERLINK("https://rmda.kulib.kyoto-u.ac.jp/item/rb00003456?page=20")</f>
        <v>https://rmda.kulib.kyoto-u.ac.jp/item/rb00003456?page=20</v>
      </c>
      <c r="E4774" s="22"/>
      <c r="F4774" s="22"/>
      <c r="G4774" s="22"/>
    </row>
    <row r="4775" spans="1:7" x14ac:dyDescent="0.15">
      <c r="A4775" s="19" t="s">
        <v>12688</v>
      </c>
      <c r="B4775" s="19" t="s">
        <v>12717</v>
      </c>
      <c r="C4775" s="19">
        <v>20</v>
      </c>
      <c r="D4775" s="19" t="str">
        <f>HYPERLINK("https://rmda.kulib.kyoto-u.ac.jp/item/rb00003456?page=20")</f>
        <v>https://rmda.kulib.kyoto-u.ac.jp/item/rb00003456?page=20</v>
      </c>
      <c r="E4775" s="22"/>
      <c r="F4775" s="22"/>
      <c r="G4775" s="22"/>
    </row>
    <row r="4776" spans="1:7" x14ac:dyDescent="0.15">
      <c r="A4776" s="19" t="s">
        <v>12688</v>
      </c>
      <c r="B4776" s="19" t="s">
        <v>12718</v>
      </c>
      <c r="C4776" s="19">
        <v>20</v>
      </c>
      <c r="D4776" s="19" t="str">
        <f>HYPERLINK("https://rmda.kulib.kyoto-u.ac.jp/item/rb00003456?page=20")</f>
        <v>https://rmda.kulib.kyoto-u.ac.jp/item/rb00003456?page=20</v>
      </c>
      <c r="E4776" s="22"/>
      <c r="F4776" s="22"/>
      <c r="G4776" s="22"/>
    </row>
    <row r="4777" spans="1:7" x14ac:dyDescent="0.15">
      <c r="A4777" s="19" t="s">
        <v>12688</v>
      </c>
      <c r="B4777" s="19" t="s">
        <v>12719</v>
      </c>
      <c r="C4777" s="19">
        <v>20</v>
      </c>
      <c r="D4777" s="19" t="str">
        <f>HYPERLINK("https://rmda.kulib.kyoto-u.ac.jp/item/rb00003456?page=20")</f>
        <v>https://rmda.kulib.kyoto-u.ac.jp/item/rb00003456?page=20</v>
      </c>
      <c r="E4777" s="22"/>
      <c r="F4777" s="22"/>
      <c r="G4777" s="22"/>
    </row>
    <row r="4778" spans="1:7" x14ac:dyDescent="0.15">
      <c r="A4778" s="19" t="s">
        <v>12688</v>
      </c>
      <c r="B4778" s="19" t="s">
        <v>12720</v>
      </c>
      <c r="C4778" s="19">
        <v>20</v>
      </c>
      <c r="D4778" s="19" t="str">
        <f>HYPERLINK("https://rmda.kulib.kyoto-u.ac.jp/item/rb00003456?page=20")</f>
        <v>https://rmda.kulib.kyoto-u.ac.jp/item/rb00003456?page=20</v>
      </c>
      <c r="E4778" s="22"/>
      <c r="F4778" s="22"/>
      <c r="G4778" s="22"/>
    </row>
    <row r="4779" spans="1:7" x14ac:dyDescent="0.15">
      <c r="A4779" s="19" t="s">
        <v>12688</v>
      </c>
      <c r="B4779" s="19" t="s">
        <v>12721</v>
      </c>
      <c r="C4779" s="19">
        <v>21</v>
      </c>
      <c r="D4779" s="19" t="str">
        <f>HYPERLINK("https://rmda.kulib.kyoto-u.ac.jp/item/rb00003456?page=21")</f>
        <v>https://rmda.kulib.kyoto-u.ac.jp/item/rb00003456?page=21</v>
      </c>
      <c r="E4779" s="22"/>
      <c r="F4779" s="22"/>
      <c r="G4779" s="22"/>
    </row>
    <row r="4780" spans="1:7" x14ac:dyDescent="0.15">
      <c r="A4780" s="19" t="s">
        <v>12688</v>
      </c>
      <c r="B4780" s="19" t="s">
        <v>12722</v>
      </c>
      <c r="C4780" s="19">
        <v>21</v>
      </c>
      <c r="D4780" s="19" t="str">
        <f>HYPERLINK("https://rmda.kulib.kyoto-u.ac.jp/item/rb00003456?page=21")</f>
        <v>https://rmda.kulib.kyoto-u.ac.jp/item/rb00003456?page=21</v>
      </c>
      <c r="E4780" s="22"/>
      <c r="F4780" s="22"/>
      <c r="G4780" s="22"/>
    </row>
    <row r="4781" spans="1:7" x14ac:dyDescent="0.15">
      <c r="A4781" s="19" t="s">
        <v>12688</v>
      </c>
      <c r="B4781" s="19" t="s">
        <v>12723</v>
      </c>
      <c r="C4781" s="19">
        <v>21</v>
      </c>
      <c r="D4781" s="19" t="str">
        <f>HYPERLINK("https://rmda.kulib.kyoto-u.ac.jp/item/rb00003456?page=21")</f>
        <v>https://rmda.kulib.kyoto-u.ac.jp/item/rb00003456?page=21</v>
      </c>
      <c r="E4781" s="22"/>
      <c r="F4781" s="22"/>
      <c r="G4781" s="22"/>
    </row>
    <row r="4782" spans="1:7" x14ac:dyDescent="0.15">
      <c r="A4782" s="19" t="s">
        <v>12688</v>
      </c>
      <c r="B4782" s="19" t="s">
        <v>12724</v>
      </c>
      <c r="C4782" s="19">
        <v>21</v>
      </c>
      <c r="D4782" s="19" t="str">
        <f>HYPERLINK("https://rmda.kulib.kyoto-u.ac.jp/item/rb00003456?page=21")</f>
        <v>https://rmda.kulib.kyoto-u.ac.jp/item/rb00003456?page=21</v>
      </c>
      <c r="E4782" s="22"/>
      <c r="F4782" s="22"/>
      <c r="G4782" s="22"/>
    </row>
    <row r="4783" spans="1:7" x14ac:dyDescent="0.15">
      <c r="A4783" s="19" t="s">
        <v>12688</v>
      </c>
      <c r="B4783" s="19" t="s">
        <v>12725</v>
      </c>
      <c r="C4783" s="19">
        <v>21</v>
      </c>
      <c r="D4783" s="19" t="str">
        <f>HYPERLINK("https://rmda.kulib.kyoto-u.ac.jp/item/rb00003456?page=21")</f>
        <v>https://rmda.kulib.kyoto-u.ac.jp/item/rb00003456?page=21</v>
      </c>
      <c r="E4783" s="22"/>
      <c r="F4783" s="22"/>
      <c r="G4783" s="22"/>
    </row>
    <row r="4784" spans="1:7" x14ac:dyDescent="0.15">
      <c r="A4784" s="19" t="s">
        <v>12688</v>
      </c>
      <c r="B4784" s="19" t="s">
        <v>12726</v>
      </c>
      <c r="C4784" s="19">
        <v>22</v>
      </c>
      <c r="D4784" s="19" t="str">
        <f t="shared" ref="D4784:D4790" si="351">HYPERLINK("https://rmda.kulib.kyoto-u.ac.jp/item/rb00003456?page=22")</f>
        <v>https://rmda.kulib.kyoto-u.ac.jp/item/rb00003456?page=22</v>
      </c>
      <c r="E4784" s="22"/>
      <c r="F4784" s="22"/>
      <c r="G4784" s="22"/>
    </row>
    <row r="4785" spans="1:7" x14ac:dyDescent="0.15">
      <c r="A4785" s="19" t="s">
        <v>12688</v>
      </c>
      <c r="B4785" s="19" t="s">
        <v>12727</v>
      </c>
      <c r="C4785" s="19">
        <v>22</v>
      </c>
      <c r="D4785" s="19" t="str">
        <f t="shared" si="351"/>
        <v>https://rmda.kulib.kyoto-u.ac.jp/item/rb00003456?page=22</v>
      </c>
      <c r="E4785" s="22"/>
      <c r="F4785" s="22"/>
      <c r="G4785" s="22"/>
    </row>
    <row r="4786" spans="1:7" x14ac:dyDescent="0.15">
      <c r="A4786" s="19" t="s">
        <v>12688</v>
      </c>
      <c r="B4786" s="19" t="s">
        <v>12728</v>
      </c>
      <c r="C4786" s="19">
        <v>22</v>
      </c>
      <c r="D4786" s="19" t="str">
        <f t="shared" si="351"/>
        <v>https://rmda.kulib.kyoto-u.ac.jp/item/rb00003456?page=22</v>
      </c>
      <c r="E4786" s="22"/>
      <c r="F4786" s="22"/>
      <c r="G4786" s="22"/>
    </row>
    <row r="4787" spans="1:7" x14ac:dyDescent="0.15">
      <c r="A4787" s="19" t="s">
        <v>12688</v>
      </c>
      <c r="B4787" s="19" t="s">
        <v>12729</v>
      </c>
      <c r="C4787" s="19">
        <v>22</v>
      </c>
      <c r="D4787" s="19" t="str">
        <f t="shared" si="351"/>
        <v>https://rmda.kulib.kyoto-u.ac.jp/item/rb00003456?page=22</v>
      </c>
      <c r="E4787" s="22"/>
      <c r="F4787" s="22"/>
      <c r="G4787" s="22"/>
    </row>
    <row r="4788" spans="1:7" x14ac:dyDescent="0.15">
      <c r="A4788" s="19" t="s">
        <v>12688</v>
      </c>
      <c r="B4788" s="19" t="s">
        <v>12730</v>
      </c>
      <c r="C4788" s="19">
        <v>22</v>
      </c>
      <c r="D4788" s="19" t="str">
        <f t="shared" si="351"/>
        <v>https://rmda.kulib.kyoto-u.ac.jp/item/rb00003456?page=22</v>
      </c>
      <c r="E4788" s="22"/>
      <c r="F4788" s="22"/>
      <c r="G4788" s="22"/>
    </row>
    <row r="4789" spans="1:7" x14ac:dyDescent="0.15">
      <c r="A4789" s="19" t="s">
        <v>12688</v>
      </c>
      <c r="B4789" s="19" t="s">
        <v>12731</v>
      </c>
      <c r="C4789" s="19">
        <v>22</v>
      </c>
      <c r="D4789" s="19" t="str">
        <f t="shared" si="351"/>
        <v>https://rmda.kulib.kyoto-u.ac.jp/item/rb00003456?page=22</v>
      </c>
      <c r="E4789" s="22"/>
      <c r="F4789" s="22"/>
      <c r="G4789" s="22"/>
    </row>
    <row r="4790" spans="1:7" x14ac:dyDescent="0.15">
      <c r="A4790" s="19" t="s">
        <v>12688</v>
      </c>
      <c r="B4790" s="19" t="s">
        <v>12732</v>
      </c>
      <c r="C4790" s="19">
        <v>22</v>
      </c>
      <c r="D4790" s="19" t="str">
        <f t="shared" si="351"/>
        <v>https://rmda.kulib.kyoto-u.ac.jp/item/rb00003456?page=22</v>
      </c>
      <c r="E4790" s="22"/>
      <c r="F4790" s="22"/>
      <c r="G4790" s="22"/>
    </row>
    <row r="4791" spans="1:7" x14ac:dyDescent="0.15">
      <c r="A4791" s="19" t="s">
        <v>12688</v>
      </c>
      <c r="B4791" s="19" t="s">
        <v>12733</v>
      </c>
      <c r="C4791" s="19">
        <v>23</v>
      </c>
      <c r="D4791" s="19" t="str">
        <f t="shared" ref="D4791:D4797" si="352">HYPERLINK("https://rmda.kulib.kyoto-u.ac.jp/item/rb00003456?page=23")</f>
        <v>https://rmda.kulib.kyoto-u.ac.jp/item/rb00003456?page=23</v>
      </c>
      <c r="E4791" s="22"/>
      <c r="F4791" s="22"/>
      <c r="G4791" s="22"/>
    </row>
    <row r="4792" spans="1:7" x14ac:dyDescent="0.15">
      <c r="A4792" s="19" t="s">
        <v>12688</v>
      </c>
      <c r="B4792" s="19" t="s">
        <v>12734</v>
      </c>
      <c r="C4792" s="19">
        <v>23</v>
      </c>
      <c r="D4792" s="19" t="str">
        <f t="shared" si="352"/>
        <v>https://rmda.kulib.kyoto-u.ac.jp/item/rb00003456?page=23</v>
      </c>
      <c r="E4792" s="22"/>
      <c r="F4792" s="22"/>
      <c r="G4792" s="22"/>
    </row>
    <row r="4793" spans="1:7" x14ac:dyDescent="0.15">
      <c r="A4793" s="19" t="s">
        <v>12688</v>
      </c>
      <c r="B4793" s="19" t="s">
        <v>12735</v>
      </c>
      <c r="C4793" s="19">
        <v>23</v>
      </c>
      <c r="D4793" s="19" t="str">
        <f t="shared" si="352"/>
        <v>https://rmda.kulib.kyoto-u.ac.jp/item/rb00003456?page=23</v>
      </c>
      <c r="E4793" s="22"/>
      <c r="F4793" s="22"/>
      <c r="G4793" s="22"/>
    </row>
    <row r="4794" spans="1:7" x14ac:dyDescent="0.15">
      <c r="A4794" s="19" t="s">
        <v>12688</v>
      </c>
      <c r="B4794" s="19" t="s">
        <v>12736</v>
      </c>
      <c r="C4794" s="19">
        <v>23</v>
      </c>
      <c r="D4794" s="19" t="str">
        <f t="shared" si="352"/>
        <v>https://rmda.kulib.kyoto-u.ac.jp/item/rb00003456?page=23</v>
      </c>
      <c r="E4794" s="22"/>
      <c r="F4794" s="22"/>
      <c r="G4794" s="22"/>
    </row>
    <row r="4795" spans="1:7" x14ac:dyDescent="0.15">
      <c r="A4795" s="19" t="s">
        <v>12688</v>
      </c>
      <c r="B4795" s="19" t="s">
        <v>12737</v>
      </c>
      <c r="C4795" s="19">
        <v>23</v>
      </c>
      <c r="D4795" s="19" t="str">
        <f t="shared" si="352"/>
        <v>https://rmda.kulib.kyoto-u.ac.jp/item/rb00003456?page=23</v>
      </c>
      <c r="E4795" s="22"/>
      <c r="F4795" s="22"/>
      <c r="G4795" s="22"/>
    </row>
    <row r="4796" spans="1:7" x14ac:dyDescent="0.15">
      <c r="A4796" s="19" t="s">
        <v>12688</v>
      </c>
      <c r="B4796" s="19" t="s">
        <v>12738</v>
      </c>
      <c r="C4796" s="19">
        <v>23</v>
      </c>
      <c r="D4796" s="19" t="str">
        <f t="shared" si="352"/>
        <v>https://rmda.kulib.kyoto-u.ac.jp/item/rb00003456?page=23</v>
      </c>
      <c r="E4796" s="22"/>
      <c r="F4796" s="22"/>
      <c r="G4796" s="22"/>
    </row>
    <row r="4797" spans="1:7" x14ac:dyDescent="0.15">
      <c r="A4797" s="19" t="s">
        <v>12688</v>
      </c>
      <c r="B4797" s="19" t="s">
        <v>12739</v>
      </c>
      <c r="C4797" s="19">
        <v>23</v>
      </c>
      <c r="D4797" s="19" t="str">
        <f t="shared" si="352"/>
        <v>https://rmda.kulib.kyoto-u.ac.jp/item/rb00003456?page=23</v>
      </c>
      <c r="E4797" s="22"/>
      <c r="F4797" s="22"/>
      <c r="G4797" s="22"/>
    </row>
    <row r="4798" spans="1:7" x14ac:dyDescent="0.15">
      <c r="A4798" s="19" t="s">
        <v>12688</v>
      </c>
      <c r="B4798" s="19" t="s">
        <v>12740</v>
      </c>
      <c r="C4798" s="19">
        <v>24</v>
      </c>
      <c r="D4798" s="19" t="str">
        <f>HYPERLINK("https://rmda.kulib.kyoto-u.ac.jp/item/rb00003456?page=24")</f>
        <v>https://rmda.kulib.kyoto-u.ac.jp/item/rb00003456?page=24</v>
      </c>
      <c r="E4798" s="22"/>
      <c r="F4798" s="22"/>
      <c r="G4798" s="22"/>
    </row>
    <row r="4799" spans="1:7" x14ac:dyDescent="0.15">
      <c r="A4799" s="19" t="s">
        <v>12688</v>
      </c>
      <c r="B4799" s="19" t="s">
        <v>12741</v>
      </c>
      <c r="C4799" s="19">
        <v>24</v>
      </c>
      <c r="D4799" s="19" t="str">
        <f>HYPERLINK("https://rmda.kulib.kyoto-u.ac.jp/item/rb00003456?page=24")</f>
        <v>https://rmda.kulib.kyoto-u.ac.jp/item/rb00003456?page=24</v>
      </c>
      <c r="E4799" s="22"/>
      <c r="F4799" s="22"/>
      <c r="G4799" s="22"/>
    </row>
    <row r="4800" spans="1:7" x14ac:dyDescent="0.15">
      <c r="A4800" s="19" t="s">
        <v>12688</v>
      </c>
      <c r="B4800" s="19" t="s">
        <v>12742</v>
      </c>
      <c r="C4800" s="19">
        <v>24</v>
      </c>
      <c r="D4800" s="19" t="str">
        <f>HYPERLINK("https://rmda.kulib.kyoto-u.ac.jp/item/rb00003456?page=24")</f>
        <v>https://rmda.kulib.kyoto-u.ac.jp/item/rb00003456?page=24</v>
      </c>
      <c r="E4800" s="22"/>
      <c r="F4800" s="22"/>
      <c r="G4800" s="22"/>
    </row>
    <row r="4801" spans="1:7" x14ac:dyDescent="0.15">
      <c r="A4801" s="19" t="s">
        <v>12688</v>
      </c>
      <c r="B4801" s="19" t="s">
        <v>12743</v>
      </c>
      <c r="C4801" s="19">
        <v>25</v>
      </c>
      <c r="D4801" s="19" t="str">
        <f>HYPERLINK("https://rmda.kulib.kyoto-u.ac.jp/item/rb00003456?page=25")</f>
        <v>https://rmda.kulib.kyoto-u.ac.jp/item/rb00003456?page=25</v>
      </c>
      <c r="E4801" s="22"/>
      <c r="F4801" s="22"/>
      <c r="G4801" s="22"/>
    </row>
    <row r="4802" spans="1:7" x14ac:dyDescent="0.15">
      <c r="A4802" s="19" t="s">
        <v>12688</v>
      </c>
      <c r="B4802" s="19" t="s">
        <v>12744</v>
      </c>
      <c r="C4802" s="19">
        <v>25</v>
      </c>
      <c r="D4802" s="19" t="str">
        <f>HYPERLINK("https://rmda.kulib.kyoto-u.ac.jp/item/rb00003456?page=25")</f>
        <v>https://rmda.kulib.kyoto-u.ac.jp/item/rb00003456?page=25</v>
      </c>
      <c r="E4802" s="22"/>
      <c r="F4802" s="22"/>
      <c r="G4802" s="22"/>
    </row>
    <row r="4803" spans="1:7" x14ac:dyDescent="0.15">
      <c r="A4803" s="19" t="s">
        <v>12688</v>
      </c>
      <c r="B4803" s="19" t="s">
        <v>12745</v>
      </c>
      <c r="C4803" s="19">
        <v>26</v>
      </c>
      <c r="D4803" s="19" t="str">
        <f>HYPERLINK("https://rmda.kulib.kyoto-u.ac.jp/item/rb00003456?page=26")</f>
        <v>https://rmda.kulib.kyoto-u.ac.jp/item/rb00003456?page=26</v>
      </c>
      <c r="E4803" s="22"/>
      <c r="F4803" s="22"/>
      <c r="G4803" s="22"/>
    </row>
    <row r="4804" spans="1:7" x14ac:dyDescent="0.15">
      <c r="A4804" s="19" t="s">
        <v>12688</v>
      </c>
      <c r="B4804" s="19" t="s">
        <v>12746</v>
      </c>
      <c r="C4804" s="19">
        <v>26</v>
      </c>
      <c r="D4804" s="19" t="str">
        <f>HYPERLINK("https://rmda.kulib.kyoto-u.ac.jp/item/rb00003456?page=26")</f>
        <v>https://rmda.kulib.kyoto-u.ac.jp/item/rb00003456?page=26</v>
      </c>
      <c r="E4804" s="22"/>
      <c r="F4804" s="22"/>
      <c r="G4804" s="22"/>
    </row>
    <row r="4805" spans="1:7" x14ac:dyDescent="0.15">
      <c r="A4805" s="19" t="s">
        <v>12688</v>
      </c>
      <c r="B4805" s="19" t="s">
        <v>12747</v>
      </c>
      <c r="C4805" s="19">
        <v>26</v>
      </c>
      <c r="D4805" s="19" t="str">
        <f>HYPERLINK("https://rmda.kulib.kyoto-u.ac.jp/item/rb00003456?page=26")</f>
        <v>https://rmda.kulib.kyoto-u.ac.jp/item/rb00003456?page=26</v>
      </c>
      <c r="E4805" s="22"/>
      <c r="F4805" s="22"/>
      <c r="G4805" s="22"/>
    </row>
    <row r="4806" spans="1:7" x14ac:dyDescent="0.15">
      <c r="A4806" s="19" t="s">
        <v>12688</v>
      </c>
      <c r="B4806" s="19" t="s">
        <v>12748</v>
      </c>
      <c r="C4806" s="19">
        <v>26</v>
      </c>
      <c r="D4806" s="19" t="str">
        <f>HYPERLINK("https://rmda.kulib.kyoto-u.ac.jp/item/rb00003456?page=26")</f>
        <v>https://rmda.kulib.kyoto-u.ac.jp/item/rb00003456?page=26</v>
      </c>
      <c r="E4806" s="22"/>
      <c r="F4806" s="22"/>
      <c r="G4806" s="22"/>
    </row>
    <row r="4807" spans="1:7" x14ac:dyDescent="0.15">
      <c r="A4807" s="19" t="s">
        <v>12688</v>
      </c>
      <c r="B4807" s="19" t="s">
        <v>12749</v>
      </c>
      <c r="C4807" s="19">
        <v>27</v>
      </c>
      <c r="D4807" s="19" t="str">
        <f t="shared" ref="D4807:D4812" si="353">HYPERLINK("https://rmda.kulib.kyoto-u.ac.jp/item/rb00003456?page=27")</f>
        <v>https://rmda.kulib.kyoto-u.ac.jp/item/rb00003456?page=27</v>
      </c>
      <c r="E4807" s="22"/>
      <c r="F4807" s="22"/>
      <c r="G4807" s="22"/>
    </row>
    <row r="4808" spans="1:7" x14ac:dyDescent="0.15">
      <c r="A4808" s="19" t="s">
        <v>12688</v>
      </c>
      <c r="B4808" s="19" t="s">
        <v>12750</v>
      </c>
      <c r="C4808" s="19">
        <v>27</v>
      </c>
      <c r="D4808" s="19" t="str">
        <f t="shared" si="353"/>
        <v>https://rmda.kulib.kyoto-u.ac.jp/item/rb00003456?page=27</v>
      </c>
      <c r="E4808" s="22"/>
      <c r="F4808" s="22"/>
      <c r="G4808" s="22"/>
    </row>
    <row r="4809" spans="1:7" x14ac:dyDescent="0.15">
      <c r="A4809" s="19" t="s">
        <v>12688</v>
      </c>
      <c r="B4809" s="19" t="s">
        <v>12751</v>
      </c>
      <c r="C4809" s="19">
        <v>27</v>
      </c>
      <c r="D4809" s="19" t="str">
        <f t="shared" si="353"/>
        <v>https://rmda.kulib.kyoto-u.ac.jp/item/rb00003456?page=27</v>
      </c>
      <c r="E4809" s="22"/>
      <c r="F4809" s="22"/>
      <c r="G4809" s="22"/>
    </row>
    <row r="4810" spans="1:7" x14ac:dyDescent="0.15">
      <c r="A4810" s="19" t="s">
        <v>12688</v>
      </c>
      <c r="B4810" s="19" t="s">
        <v>12752</v>
      </c>
      <c r="C4810" s="19">
        <v>27</v>
      </c>
      <c r="D4810" s="19" t="str">
        <f t="shared" si="353"/>
        <v>https://rmda.kulib.kyoto-u.ac.jp/item/rb00003456?page=27</v>
      </c>
      <c r="E4810" s="22"/>
      <c r="F4810" s="22"/>
      <c r="G4810" s="22"/>
    </row>
    <row r="4811" spans="1:7" x14ac:dyDescent="0.15">
      <c r="A4811" s="19" t="s">
        <v>12688</v>
      </c>
      <c r="B4811" s="19" t="s">
        <v>12753</v>
      </c>
      <c r="C4811" s="19">
        <v>27</v>
      </c>
      <c r="D4811" s="19" t="str">
        <f t="shared" si="353"/>
        <v>https://rmda.kulib.kyoto-u.ac.jp/item/rb00003456?page=27</v>
      </c>
      <c r="E4811" s="22"/>
      <c r="F4811" s="22"/>
      <c r="G4811" s="22"/>
    </row>
    <row r="4812" spans="1:7" x14ac:dyDescent="0.15">
      <c r="A4812" s="19" t="s">
        <v>12688</v>
      </c>
      <c r="B4812" s="19" t="s">
        <v>12754</v>
      </c>
      <c r="C4812" s="19">
        <v>27</v>
      </c>
      <c r="D4812" s="19" t="str">
        <f t="shared" si="353"/>
        <v>https://rmda.kulib.kyoto-u.ac.jp/item/rb00003456?page=27</v>
      </c>
      <c r="E4812" s="22"/>
      <c r="F4812" s="22"/>
      <c r="G4812" s="22"/>
    </row>
    <row r="4813" spans="1:7" x14ac:dyDescent="0.15">
      <c r="A4813" s="19" t="s">
        <v>12688</v>
      </c>
      <c r="B4813" s="19" t="s">
        <v>12755</v>
      </c>
      <c r="C4813" s="19">
        <v>28</v>
      </c>
      <c r="D4813" s="19" t="str">
        <f t="shared" ref="D4813:D4819" si="354">HYPERLINK("https://rmda.kulib.kyoto-u.ac.jp/item/rb00003456?page=28")</f>
        <v>https://rmda.kulib.kyoto-u.ac.jp/item/rb00003456?page=28</v>
      </c>
      <c r="E4813" s="22"/>
      <c r="F4813" s="22"/>
      <c r="G4813" s="22"/>
    </row>
    <row r="4814" spans="1:7" x14ac:dyDescent="0.15">
      <c r="A4814" s="19" t="s">
        <v>12688</v>
      </c>
      <c r="B4814" s="19" t="s">
        <v>12756</v>
      </c>
      <c r="C4814" s="19">
        <v>28</v>
      </c>
      <c r="D4814" s="19" t="str">
        <f t="shared" si="354"/>
        <v>https://rmda.kulib.kyoto-u.ac.jp/item/rb00003456?page=28</v>
      </c>
      <c r="E4814" s="22"/>
      <c r="F4814" s="22"/>
      <c r="G4814" s="22"/>
    </row>
    <row r="4815" spans="1:7" x14ac:dyDescent="0.15">
      <c r="A4815" s="19" t="s">
        <v>12688</v>
      </c>
      <c r="B4815" s="19" t="s">
        <v>12757</v>
      </c>
      <c r="C4815" s="19">
        <v>28</v>
      </c>
      <c r="D4815" s="19" t="str">
        <f t="shared" si="354"/>
        <v>https://rmda.kulib.kyoto-u.ac.jp/item/rb00003456?page=28</v>
      </c>
      <c r="E4815" s="22"/>
      <c r="F4815" s="22"/>
      <c r="G4815" s="22"/>
    </row>
    <row r="4816" spans="1:7" x14ac:dyDescent="0.15">
      <c r="A4816" s="19" t="s">
        <v>12688</v>
      </c>
      <c r="B4816" s="19" t="s">
        <v>12758</v>
      </c>
      <c r="C4816" s="19">
        <v>28</v>
      </c>
      <c r="D4816" s="19" t="str">
        <f t="shared" si="354"/>
        <v>https://rmda.kulib.kyoto-u.ac.jp/item/rb00003456?page=28</v>
      </c>
      <c r="E4816" s="22"/>
      <c r="F4816" s="22"/>
      <c r="G4816" s="22"/>
    </row>
    <row r="4817" spans="1:7" x14ac:dyDescent="0.15">
      <c r="A4817" s="19" t="s">
        <v>12688</v>
      </c>
      <c r="B4817" s="19" t="s">
        <v>12759</v>
      </c>
      <c r="C4817" s="19">
        <v>28</v>
      </c>
      <c r="D4817" s="19" t="str">
        <f t="shared" si="354"/>
        <v>https://rmda.kulib.kyoto-u.ac.jp/item/rb00003456?page=28</v>
      </c>
      <c r="E4817" s="22"/>
      <c r="F4817" s="22"/>
      <c r="G4817" s="22"/>
    </row>
    <row r="4818" spans="1:7" x14ac:dyDescent="0.15">
      <c r="A4818" s="19" t="s">
        <v>12688</v>
      </c>
      <c r="B4818" s="19" t="s">
        <v>12760</v>
      </c>
      <c r="C4818" s="19">
        <v>28</v>
      </c>
      <c r="D4818" s="19" t="str">
        <f t="shared" si="354"/>
        <v>https://rmda.kulib.kyoto-u.ac.jp/item/rb00003456?page=28</v>
      </c>
      <c r="E4818" s="22"/>
      <c r="F4818" s="22"/>
      <c r="G4818" s="22"/>
    </row>
    <row r="4819" spans="1:7" x14ac:dyDescent="0.15">
      <c r="A4819" s="19" t="s">
        <v>12688</v>
      </c>
      <c r="B4819" s="19" t="s">
        <v>12761</v>
      </c>
      <c r="C4819" s="19">
        <v>28</v>
      </c>
      <c r="D4819" s="19" t="str">
        <f t="shared" si="354"/>
        <v>https://rmda.kulib.kyoto-u.ac.jp/item/rb00003456?page=28</v>
      </c>
      <c r="E4819" s="22"/>
      <c r="F4819" s="22"/>
      <c r="G4819" s="22"/>
    </row>
    <row r="4820" spans="1:7" x14ac:dyDescent="0.15">
      <c r="A4820" s="19" t="s">
        <v>12688</v>
      </c>
      <c r="B4820" s="19" t="s">
        <v>12762</v>
      </c>
      <c r="C4820" s="19">
        <v>29</v>
      </c>
      <c r="D4820" s="19" t="str">
        <f>HYPERLINK("https://rmda.kulib.kyoto-u.ac.jp/item/rb00003456?page=29")</f>
        <v>https://rmda.kulib.kyoto-u.ac.jp/item/rb00003456?page=29</v>
      </c>
      <c r="E4820" s="22"/>
      <c r="F4820" s="22"/>
      <c r="G4820" s="22"/>
    </row>
    <row r="4821" spans="1:7" x14ac:dyDescent="0.15">
      <c r="A4821" s="19" t="s">
        <v>12688</v>
      </c>
      <c r="B4821" s="19" t="s">
        <v>12763</v>
      </c>
      <c r="C4821" s="19">
        <v>29</v>
      </c>
      <c r="D4821" s="19" t="str">
        <f>HYPERLINK("https://rmda.kulib.kyoto-u.ac.jp/item/rb00003456?page=29")</f>
        <v>https://rmda.kulib.kyoto-u.ac.jp/item/rb00003456?page=29</v>
      </c>
      <c r="E4821" s="22"/>
      <c r="F4821" s="22"/>
      <c r="G4821" s="22"/>
    </row>
    <row r="4822" spans="1:7" x14ac:dyDescent="0.15">
      <c r="A4822" s="19" t="s">
        <v>12688</v>
      </c>
      <c r="B4822" s="19" t="s">
        <v>12764</v>
      </c>
      <c r="C4822" s="19">
        <v>30</v>
      </c>
      <c r="D4822" s="19" t="str">
        <f>HYPERLINK("https://rmda.kulib.kyoto-u.ac.jp/item/rb00003456?page=30")</f>
        <v>https://rmda.kulib.kyoto-u.ac.jp/item/rb00003456?page=30</v>
      </c>
      <c r="E4822" s="22"/>
      <c r="F4822" s="22"/>
      <c r="G4822" s="22"/>
    </row>
    <row r="4823" spans="1:7" x14ac:dyDescent="0.15">
      <c r="A4823" s="19" t="s">
        <v>12688</v>
      </c>
      <c r="B4823" s="19" t="s">
        <v>12765</v>
      </c>
      <c r="C4823" s="19">
        <v>30</v>
      </c>
      <c r="D4823" s="19" t="str">
        <f>HYPERLINK("https://rmda.kulib.kyoto-u.ac.jp/item/rb00003456?page=30")</f>
        <v>https://rmda.kulib.kyoto-u.ac.jp/item/rb00003456?page=30</v>
      </c>
      <c r="E4823" s="22"/>
      <c r="F4823" s="22"/>
      <c r="G4823" s="22"/>
    </row>
    <row r="4824" spans="1:7" x14ac:dyDescent="0.15">
      <c r="A4824" s="19" t="s">
        <v>12688</v>
      </c>
      <c r="B4824" s="19" t="s">
        <v>12766</v>
      </c>
      <c r="C4824" s="19">
        <v>30</v>
      </c>
      <c r="D4824" s="19" t="str">
        <f>HYPERLINK("https://rmda.kulib.kyoto-u.ac.jp/item/rb00003456?page=30")</f>
        <v>https://rmda.kulib.kyoto-u.ac.jp/item/rb00003456?page=30</v>
      </c>
      <c r="E4824" s="22"/>
      <c r="F4824" s="22"/>
      <c r="G4824" s="22"/>
    </row>
    <row r="4825" spans="1:7" x14ac:dyDescent="0.15">
      <c r="A4825" s="19" t="s">
        <v>12688</v>
      </c>
      <c r="B4825" s="19" t="s">
        <v>12767</v>
      </c>
      <c r="C4825" s="19">
        <v>30</v>
      </c>
      <c r="D4825" s="19" t="str">
        <f>HYPERLINK("https://rmda.kulib.kyoto-u.ac.jp/item/rb00003456?page=30")</f>
        <v>https://rmda.kulib.kyoto-u.ac.jp/item/rb00003456?page=30</v>
      </c>
      <c r="E4825" s="22"/>
      <c r="F4825" s="22"/>
      <c r="G4825" s="22"/>
    </row>
    <row r="4826" spans="1:7" x14ac:dyDescent="0.15">
      <c r="A4826" s="19" t="s">
        <v>12688</v>
      </c>
      <c r="B4826" s="19" t="s">
        <v>12768</v>
      </c>
      <c r="C4826" s="19">
        <v>30</v>
      </c>
      <c r="D4826" s="19" t="str">
        <f>HYPERLINK("https://rmda.kulib.kyoto-u.ac.jp/item/rb00003456?page=30")</f>
        <v>https://rmda.kulib.kyoto-u.ac.jp/item/rb00003456?page=30</v>
      </c>
      <c r="E4826" s="22"/>
      <c r="F4826" s="22"/>
      <c r="G4826" s="22"/>
    </row>
    <row r="4827" spans="1:7" x14ac:dyDescent="0.15">
      <c r="A4827" s="19" t="s">
        <v>12688</v>
      </c>
      <c r="B4827" s="19" t="s">
        <v>12769</v>
      </c>
      <c r="C4827" s="19">
        <v>31</v>
      </c>
      <c r="D4827" s="19" t="str">
        <f>HYPERLINK("https://rmda.kulib.kyoto-u.ac.jp/item/rb00003456?page=31")</f>
        <v>https://rmda.kulib.kyoto-u.ac.jp/item/rb00003456?page=31</v>
      </c>
      <c r="E4827" s="22"/>
      <c r="F4827" s="22"/>
      <c r="G4827" s="22"/>
    </row>
    <row r="4828" spans="1:7" x14ac:dyDescent="0.15">
      <c r="A4828" s="19" t="s">
        <v>12688</v>
      </c>
      <c r="B4828" s="19" t="s">
        <v>12770</v>
      </c>
      <c r="C4828" s="19">
        <v>31</v>
      </c>
      <c r="D4828" s="19" t="str">
        <f>HYPERLINK("https://rmda.kulib.kyoto-u.ac.jp/item/rb00003456?page=31")</f>
        <v>https://rmda.kulib.kyoto-u.ac.jp/item/rb00003456?page=31</v>
      </c>
      <c r="E4828" s="22"/>
      <c r="F4828" s="22"/>
      <c r="G4828" s="22"/>
    </row>
    <row r="4829" spans="1:7" x14ac:dyDescent="0.15">
      <c r="A4829" s="19" t="s">
        <v>12688</v>
      </c>
      <c r="B4829" s="19" t="s">
        <v>12771</v>
      </c>
      <c r="C4829" s="19">
        <v>31</v>
      </c>
      <c r="D4829" s="19" t="str">
        <f>HYPERLINK("https://rmda.kulib.kyoto-u.ac.jp/item/rb00003456?page=31")</f>
        <v>https://rmda.kulib.kyoto-u.ac.jp/item/rb00003456?page=31</v>
      </c>
      <c r="E4829" s="22"/>
      <c r="F4829" s="22"/>
      <c r="G4829" s="22"/>
    </row>
    <row r="4830" spans="1:7" x14ac:dyDescent="0.15">
      <c r="A4830" s="19" t="s">
        <v>12688</v>
      </c>
      <c r="B4830" s="19" t="s">
        <v>12772</v>
      </c>
      <c r="C4830" s="19">
        <v>31</v>
      </c>
      <c r="D4830" s="19" t="str">
        <f>HYPERLINK("https://rmda.kulib.kyoto-u.ac.jp/item/rb00003456?page=31")</f>
        <v>https://rmda.kulib.kyoto-u.ac.jp/item/rb00003456?page=31</v>
      </c>
      <c r="E4830" s="22"/>
      <c r="F4830" s="22"/>
      <c r="G4830" s="22"/>
    </row>
    <row r="4831" spans="1:7" x14ac:dyDescent="0.15">
      <c r="A4831" s="19" t="s">
        <v>12688</v>
      </c>
      <c r="B4831" s="19" t="s">
        <v>12773</v>
      </c>
      <c r="C4831" s="19">
        <v>31</v>
      </c>
      <c r="D4831" s="19" t="str">
        <f>HYPERLINK("https://rmda.kulib.kyoto-u.ac.jp/item/rb00003456?page=31")</f>
        <v>https://rmda.kulib.kyoto-u.ac.jp/item/rb00003456?page=31</v>
      </c>
      <c r="E4831" s="22"/>
      <c r="F4831" s="22"/>
      <c r="G4831" s="22"/>
    </row>
    <row r="4832" spans="1:7" x14ac:dyDescent="0.15">
      <c r="A4832" s="19" t="s">
        <v>12688</v>
      </c>
      <c r="B4832" s="19" t="s">
        <v>12774</v>
      </c>
      <c r="C4832" s="19">
        <v>32</v>
      </c>
      <c r="D4832" s="19" t="str">
        <f t="shared" ref="D4832:D4838" si="355">HYPERLINK("https://rmda.kulib.kyoto-u.ac.jp/item/rb00003456?page=32")</f>
        <v>https://rmda.kulib.kyoto-u.ac.jp/item/rb00003456?page=32</v>
      </c>
      <c r="E4832" s="22"/>
      <c r="F4832" s="22"/>
      <c r="G4832" s="22"/>
    </row>
    <row r="4833" spans="1:7" x14ac:dyDescent="0.15">
      <c r="A4833" s="19" t="s">
        <v>12688</v>
      </c>
      <c r="B4833" s="19" t="s">
        <v>12775</v>
      </c>
      <c r="C4833" s="19">
        <v>32</v>
      </c>
      <c r="D4833" s="19" t="str">
        <f t="shared" si="355"/>
        <v>https://rmda.kulib.kyoto-u.ac.jp/item/rb00003456?page=32</v>
      </c>
      <c r="E4833" s="22"/>
      <c r="F4833" s="22"/>
      <c r="G4833" s="22"/>
    </row>
    <row r="4834" spans="1:7" x14ac:dyDescent="0.15">
      <c r="A4834" s="19" t="s">
        <v>12688</v>
      </c>
      <c r="B4834" s="19" t="s">
        <v>12776</v>
      </c>
      <c r="C4834" s="19">
        <v>32</v>
      </c>
      <c r="D4834" s="19" t="str">
        <f t="shared" si="355"/>
        <v>https://rmda.kulib.kyoto-u.ac.jp/item/rb00003456?page=32</v>
      </c>
      <c r="E4834" s="22"/>
      <c r="F4834" s="22"/>
      <c r="G4834" s="22"/>
    </row>
    <row r="4835" spans="1:7" x14ac:dyDescent="0.15">
      <c r="A4835" s="19" t="s">
        <v>12688</v>
      </c>
      <c r="B4835" s="19" t="s">
        <v>12777</v>
      </c>
      <c r="C4835" s="19">
        <v>32</v>
      </c>
      <c r="D4835" s="19" t="str">
        <f t="shared" si="355"/>
        <v>https://rmda.kulib.kyoto-u.ac.jp/item/rb00003456?page=32</v>
      </c>
      <c r="E4835" s="22"/>
      <c r="F4835" s="22"/>
      <c r="G4835" s="22"/>
    </row>
    <row r="4836" spans="1:7" x14ac:dyDescent="0.15">
      <c r="A4836" s="19" t="s">
        <v>12688</v>
      </c>
      <c r="B4836" s="19" t="s">
        <v>12778</v>
      </c>
      <c r="C4836" s="19">
        <v>32</v>
      </c>
      <c r="D4836" s="19" t="str">
        <f t="shared" si="355"/>
        <v>https://rmda.kulib.kyoto-u.ac.jp/item/rb00003456?page=32</v>
      </c>
      <c r="E4836" s="22"/>
      <c r="F4836" s="22"/>
      <c r="G4836" s="22"/>
    </row>
    <row r="4837" spans="1:7" x14ac:dyDescent="0.15">
      <c r="A4837" s="19" t="s">
        <v>12688</v>
      </c>
      <c r="B4837" s="19" t="s">
        <v>12779</v>
      </c>
      <c r="C4837" s="19">
        <v>32</v>
      </c>
      <c r="D4837" s="19" t="str">
        <f t="shared" si="355"/>
        <v>https://rmda.kulib.kyoto-u.ac.jp/item/rb00003456?page=32</v>
      </c>
      <c r="E4837" s="22"/>
      <c r="F4837" s="22"/>
      <c r="G4837" s="22"/>
    </row>
    <row r="4838" spans="1:7" x14ac:dyDescent="0.15">
      <c r="A4838" s="19" t="s">
        <v>12688</v>
      </c>
      <c r="B4838" s="19" t="s">
        <v>12780</v>
      </c>
      <c r="C4838" s="19">
        <v>32</v>
      </c>
      <c r="D4838" s="19" t="str">
        <f t="shared" si="355"/>
        <v>https://rmda.kulib.kyoto-u.ac.jp/item/rb00003456?page=32</v>
      </c>
      <c r="E4838" s="22"/>
      <c r="F4838" s="22"/>
      <c r="G4838" s="22"/>
    </row>
    <row r="4839" spans="1:7" x14ac:dyDescent="0.15">
      <c r="A4839" s="19" t="s">
        <v>12688</v>
      </c>
      <c r="B4839" s="19" t="s">
        <v>12781</v>
      </c>
      <c r="C4839" s="19">
        <v>33</v>
      </c>
      <c r="D4839" s="19" t="str">
        <f t="shared" ref="D4839:D4845" si="356">HYPERLINK("https://rmda.kulib.kyoto-u.ac.jp/item/rb00003456?page=33")</f>
        <v>https://rmda.kulib.kyoto-u.ac.jp/item/rb00003456?page=33</v>
      </c>
      <c r="E4839" s="22"/>
      <c r="F4839" s="22"/>
      <c r="G4839" s="22"/>
    </row>
    <row r="4840" spans="1:7" x14ac:dyDescent="0.15">
      <c r="A4840" s="19" t="s">
        <v>12688</v>
      </c>
      <c r="B4840" s="19" t="s">
        <v>12782</v>
      </c>
      <c r="C4840" s="19">
        <v>33</v>
      </c>
      <c r="D4840" s="19" t="str">
        <f t="shared" si="356"/>
        <v>https://rmda.kulib.kyoto-u.ac.jp/item/rb00003456?page=33</v>
      </c>
      <c r="E4840" s="22"/>
      <c r="F4840" s="22"/>
      <c r="G4840" s="22"/>
    </row>
    <row r="4841" spans="1:7" x14ac:dyDescent="0.15">
      <c r="A4841" s="19" t="s">
        <v>12688</v>
      </c>
      <c r="B4841" s="19" t="s">
        <v>12783</v>
      </c>
      <c r="C4841" s="19">
        <v>33</v>
      </c>
      <c r="D4841" s="19" t="str">
        <f t="shared" si="356"/>
        <v>https://rmda.kulib.kyoto-u.ac.jp/item/rb00003456?page=33</v>
      </c>
      <c r="E4841" s="22"/>
      <c r="F4841" s="22"/>
      <c r="G4841" s="22"/>
    </row>
    <row r="4842" spans="1:7" x14ac:dyDescent="0.15">
      <c r="A4842" s="19" t="s">
        <v>12688</v>
      </c>
      <c r="B4842" s="19" t="s">
        <v>12784</v>
      </c>
      <c r="C4842" s="19">
        <v>33</v>
      </c>
      <c r="D4842" s="19" t="str">
        <f t="shared" si="356"/>
        <v>https://rmda.kulib.kyoto-u.ac.jp/item/rb00003456?page=33</v>
      </c>
      <c r="E4842" s="22"/>
      <c r="F4842" s="22"/>
      <c r="G4842" s="22"/>
    </row>
    <row r="4843" spans="1:7" x14ac:dyDescent="0.15">
      <c r="A4843" s="19" t="s">
        <v>12688</v>
      </c>
      <c r="B4843" s="19" t="s">
        <v>12785</v>
      </c>
      <c r="C4843" s="19">
        <v>33</v>
      </c>
      <c r="D4843" s="19" t="str">
        <f t="shared" si="356"/>
        <v>https://rmda.kulib.kyoto-u.ac.jp/item/rb00003456?page=33</v>
      </c>
      <c r="E4843" s="22"/>
      <c r="F4843" s="22"/>
      <c r="G4843" s="22"/>
    </row>
    <row r="4844" spans="1:7" x14ac:dyDescent="0.15">
      <c r="A4844" s="19" t="s">
        <v>12688</v>
      </c>
      <c r="B4844" s="19" t="s">
        <v>12786</v>
      </c>
      <c r="C4844" s="19">
        <v>33</v>
      </c>
      <c r="D4844" s="19" t="str">
        <f t="shared" si="356"/>
        <v>https://rmda.kulib.kyoto-u.ac.jp/item/rb00003456?page=33</v>
      </c>
      <c r="E4844" s="22"/>
      <c r="F4844" s="22"/>
      <c r="G4844" s="22"/>
    </row>
    <row r="4845" spans="1:7" x14ac:dyDescent="0.15">
      <c r="A4845" s="19" t="s">
        <v>12688</v>
      </c>
      <c r="B4845" s="19" t="s">
        <v>12787</v>
      </c>
      <c r="C4845" s="19">
        <v>33</v>
      </c>
      <c r="D4845" s="19" t="str">
        <f t="shared" si="356"/>
        <v>https://rmda.kulib.kyoto-u.ac.jp/item/rb00003456?page=33</v>
      </c>
      <c r="E4845" s="22"/>
      <c r="F4845" s="22"/>
      <c r="G4845" s="22"/>
    </row>
    <row r="4846" spans="1:7" x14ac:dyDescent="0.15">
      <c r="A4846" s="19" t="s">
        <v>12688</v>
      </c>
      <c r="B4846" s="19" t="s">
        <v>12788</v>
      </c>
      <c r="C4846" s="19">
        <v>34</v>
      </c>
      <c r="D4846" s="19" t="str">
        <f t="shared" ref="D4846:D4855" si="357">HYPERLINK("https://rmda.kulib.kyoto-u.ac.jp/item/rb00003456?page=34")</f>
        <v>https://rmda.kulib.kyoto-u.ac.jp/item/rb00003456?page=34</v>
      </c>
      <c r="E4846" s="22"/>
      <c r="F4846" s="22"/>
      <c r="G4846" s="22"/>
    </row>
    <row r="4847" spans="1:7" x14ac:dyDescent="0.15">
      <c r="A4847" s="19" t="s">
        <v>12688</v>
      </c>
      <c r="B4847" s="19" t="s">
        <v>12789</v>
      </c>
      <c r="C4847" s="19">
        <v>34</v>
      </c>
      <c r="D4847" s="19" t="str">
        <f t="shared" si="357"/>
        <v>https://rmda.kulib.kyoto-u.ac.jp/item/rb00003456?page=34</v>
      </c>
      <c r="E4847" s="22"/>
      <c r="F4847" s="22"/>
      <c r="G4847" s="22"/>
    </row>
    <row r="4848" spans="1:7" x14ac:dyDescent="0.15">
      <c r="A4848" s="19" t="s">
        <v>12688</v>
      </c>
      <c r="B4848" s="19" t="s">
        <v>12790</v>
      </c>
      <c r="C4848" s="19">
        <v>34</v>
      </c>
      <c r="D4848" s="19" t="str">
        <f t="shared" si="357"/>
        <v>https://rmda.kulib.kyoto-u.ac.jp/item/rb00003456?page=34</v>
      </c>
      <c r="E4848" s="22"/>
      <c r="F4848" s="22"/>
      <c r="G4848" s="22"/>
    </row>
    <row r="4849" spans="1:7" x14ac:dyDescent="0.15">
      <c r="A4849" s="19" t="s">
        <v>12688</v>
      </c>
      <c r="B4849" s="19" t="s">
        <v>12791</v>
      </c>
      <c r="C4849" s="19">
        <v>34</v>
      </c>
      <c r="D4849" s="19" t="str">
        <f t="shared" si="357"/>
        <v>https://rmda.kulib.kyoto-u.ac.jp/item/rb00003456?page=34</v>
      </c>
      <c r="E4849" s="22"/>
      <c r="F4849" s="22"/>
      <c r="G4849" s="22"/>
    </row>
    <row r="4850" spans="1:7" x14ac:dyDescent="0.15">
      <c r="A4850" s="19" t="s">
        <v>12688</v>
      </c>
      <c r="B4850" s="19" t="s">
        <v>12792</v>
      </c>
      <c r="C4850" s="19">
        <v>34</v>
      </c>
      <c r="D4850" s="19" t="str">
        <f t="shared" si="357"/>
        <v>https://rmda.kulib.kyoto-u.ac.jp/item/rb00003456?page=34</v>
      </c>
      <c r="E4850" s="22"/>
      <c r="F4850" s="22"/>
      <c r="G4850" s="22"/>
    </row>
    <row r="4851" spans="1:7" x14ac:dyDescent="0.15">
      <c r="A4851" s="19" t="s">
        <v>12688</v>
      </c>
      <c r="B4851" s="19" t="s">
        <v>12793</v>
      </c>
      <c r="C4851" s="19">
        <v>34</v>
      </c>
      <c r="D4851" s="19" t="str">
        <f t="shared" si="357"/>
        <v>https://rmda.kulib.kyoto-u.ac.jp/item/rb00003456?page=34</v>
      </c>
      <c r="E4851" s="22"/>
      <c r="F4851" s="22"/>
      <c r="G4851" s="22"/>
    </row>
    <row r="4852" spans="1:7" x14ac:dyDescent="0.15">
      <c r="A4852" s="19" t="s">
        <v>12688</v>
      </c>
      <c r="B4852" s="19" t="s">
        <v>12794</v>
      </c>
      <c r="C4852" s="19">
        <v>34</v>
      </c>
      <c r="D4852" s="19" t="str">
        <f t="shared" si="357"/>
        <v>https://rmda.kulib.kyoto-u.ac.jp/item/rb00003456?page=34</v>
      </c>
      <c r="E4852" s="22"/>
      <c r="F4852" s="22"/>
      <c r="G4852" s="22"/>
    </row>
    <row r="4853" spans="1:7" x14ac:dyDescent="0.15">
      <c r="A4853" s="19" t="s">
        <v>12688</v>
      </c>
      <c r="B4853" s="19" t="s">
        <v>12795</v>
      </c>
      <c r="C4853" s="19">
        <v>34</v>
      </c>
      <c r="D4853" s="19" t="str">
        <f t="shared" si="357"/>
        <v>https://rmda.kulib.kyoto-u.ac.jp/item/rb00003456?page=34</v>
      </c>
      <c r="E4853" s="22"/>
      <c r="F4853" s="22"/>
      <c r="G4853" s="22"/>
    </row>
    <row r="4854" spans="1:7" x14ac:dyDescent="0.15">
      <c r="A4854" s="19" t="s">
        <v>12688</v>
      </c>
      <c r="B4854" s="19" t="s">
        <v>12796</v>
      </c>
      <c r="C4854" s="19">
        <v>34</v>
      </c>
      <c r="D4854" s="19" t="str">
        <f t="shared" si="357"/>
        <v>https://rmda.kulib.kyoto-u.ac.jp/item/rb00003456?page=34</v>
      </c>
      <c r="E4854" s="22"/>
      <c r="F4854" s="22"/>
      <c r="G4854" s="22"/>
    </row>
    <row r="4855" spans="1:7" x14ac:dyDescent="0.15">
      <c r="A4855" s="19" t="s">
        <v>12688</v>
      </c>
      <c r="B4855" s="19" t="s">
        <v>12797</v>
      </c>
      <c r="C4855" s="19">
        <v>34</v>
      </c>
      <c r="D4855" s="19" t="str">
        <f t="shared" si="357"/>
        <v>https://rmda.kulib.kyoto-u.ac.jp/item/rb00003456?page=34</v>
      </c>
      <c r="E4855" s="22"/>
      <c r="F4855" s="22"/>
      <c r="G4855" s="22"/>
    </row>
    <row r="4856" spans="1:7" x14ac:dyDescent="0.15">
      <c r="A4856" s="19" t="s">
        <v>12688</v>
      </c>
      <c r="B4856" s="19" t="s">
        <v>12798</v>
      </c>
      <c r="C4856" s="19">
        <v>35</v>
      </c>
      <c r="D4856" s="19" t="str">
        <f t="shared" ref="D4856:D4861" si="358">HYPERLINK("https://rmda.kulib.kyoto-u.ac.jp/item/rb00003456?page=35")</f>
        <v>https://rmda.kulib.kyoto-u.ac.jp/item/rb00003456?page=35</v>
      </c>
      <c r="E4856" s="22"/>
      <c r="F4856" s="22"/>
      <c r="G4856" s="22"/>
    </row>
    <row r="4857" spans="1:7" x14ac:dyDescent="0.15">
      <c r="A4857" s="19" t="s">
        <v>12688</v>
      </c>
      <c r="B4857" s="19" t="s">
        <v>12799</v>
      </c>
      <c r="C4857" s="19">
        <v>35</v>
      </c>
      <c r="D4857" s="19" t="str">
        <f t="shared" si="358"/>
        <v>https://rmda.kulib.kyoto-u.ac.jp/item/rb00003456?page=35</v>
      </c>
      <c r="E4857" s="22"/>
      <c r="F4857" s="22"/>
      <c r="G4857" s="22"/>
    </row>
    <row r="4858" spans="1:7" x14ac:dyDescent="0.15">
      <c r="A4858" s="19" t="s">
        <v>12688</v>
      </c>
      <c r="B4858" s="19" t="s">
        <v>12800</v>
      </c>
      <c r="C4858" s="19">
        <v>35</v>
      </c>
      <c r="D4858" s="19" t="str">
        <f t="shared" si="358"/>
        <v>https://rmda.kulib.kyoto-u.ac.jp/item/rb00003456?page=35</v>
      </c>
      <c r="E4858" s="22"/>
      <c r="F4858" s="22"/>
      <c r="G4858" s="22"/>
    </row>
    <row r="4859" spans="1:7" x14ac:dyDescent="0.15">
      <c r="A4859" s="19" t="s">
        <v>12688</v>
      </c>
      <c r="B4859" s="19" t="s">
        <v>12801</v>
      </c>
      <c r="C4859" s="19">
        <v>35</v>
      </c>
      <c r="D4859" s="19" t="str">
        <f t="shared" si="358"/>
        <v>https://rmda.kulib.kyoto-u.ac.jp/item/rb00003456?page=35</v>
      </c>
      <c r="E4859" s="22"/>
      <c r="F4859" s="22"/>
      <c r="G4859" s="22"/>
    </row>
    <row r="4860" spans="1:7" x14ac:dyDescent="0.15">
      <c r="A4860" s="19" t="s">
        <v>12688</v>
      </c>
      <c r="B4860" s="19" t="s">
        <v>12802</v>
      </c>
      <c r="C4860" s="19">
        <v>35</v>
      </c>
      <c r="D4860" s="19" t="str">
        <f t="shared" si="358"/>
        <v>https://rmda.kulib.kyoto-u.ac.jp/item/rb00003456?page=35</v>
      </c>
      <c r="E4860" s="22"/>
      <c r="F4860" s="22"/>
      <c r="G4860" s="22"/>
    </row>
    <row r="4861" spans="1:7" x14ac:dyDescent="0.15">
      <c r="A4861" s="19" t="s">
        <v>12688</v>
      </c>
      <c r="B4861" s="19" t="s">
        <v>12803</v>
      </c>
      <c r="C4861" s="19">
        <v>35</v>
      </c>
      <c r="D4861" s="19" t="str">
        <f t="shared" si="358"/>
        <v>https://rmda.kulib.kyoto-u.ac.jp/item/rb00003456?page=35</v>
      </c>
      <c r="E4861" s="22"/>
      <c r="F4861" s="22"/>
      <c r="G4861" s="22"/>
    </row>
    <row r="4862" spans="1:7" x14ac:dyDescent="0.15">
      <c r="A4862" s="19" t="s">
        <v>12688</v>
      </c>
      <c r="B4862" s="20" t="s">
        <v>12804</v>
      </c>
      <c r="C4862" s="19">
        <v>41</v>
      </c>
      <c r="D4862" s="19" t="str">
        <f>HYPERLINK("https://rmda.kulib.kyoto-u.ac.jp/item/rb00003456?page=41")</f>
        <v>https://rmda.kulib.kyoto-u.ac.jp/item/rb00003456?page=41</v>
      </c>
      <c r="E4862" s="22"/>
      <c r="F4862" s="22"/>
      <c r="G4862" s="22"/>
    </row>
    <row r="4863" spans="1:7" x14ac:dyDescent="0.15">
      <c r="A4863" s="19" t="s">
        <v>12688</v>
      </c>
      <c r="B4863" s="20" t="s">
        <v>12805</v>
      </c>
      <c r="C4863" s="19">
        <v>44</v>
      </c>
      <c r="D4863" s="19" t="str">
        <f>HYPERLINK("https://rmda.kulib.kyoto-u.ac.jp/item/rb00003456?page=44")</f>
        <v>https://rmda.kulib.kyoto-u.ac.jp/item/rb00003456?page=44</v>
      </c>
      <c r="E4863" s="22"/>
      <c r="F4863" s="22"/>
      <c r="G4863" s="22"/>
    </row>
    <row r="4864" spans="1:7" x14ac:dyDescent="0.15">
      <c r="A4864" s="19" t="s">
        <v>12688</v>
      </c>
      <c r="B4864" s="19" t="s">
        <v>12806</v>
      </c>
      <c r="C4864" s="19">
        <v>44</v>
      </c>
      <c r="D4864" s="19" t="str">
        <f>HYPERLINK("https://rmda.kulib.kyoto-u.ac.jp/item/rb00003456?page=44")</f>
        <v>https://rmda.kulib.kyoto-u.ac.jp/item/rb00003456?page=44</v>
      </c>
      <c r="E4864" s="22"/>
      <c r="F4864" s="22"/>
      <c r="G4864" s="22"/>
    </row>
    <row r="4865" spans="1:7" x14ac:dyDescent="0.15">
      <c r="A4865" s="19" t="s">
        <v>12688</v>
      </c>
      <c r="B4865" s="19" t="s">
        <v>12807</v>
      </c>
      <c r="C4865" s="19">
        <v>44</v>
      </c>
      <c r="D4865" s="19" t="str">
        <f>HYPERLINK("https://rmda.kulib.kyoto-u.ac.jp/item/rb00003456?page=44")</f>
        <v>https://rmda.kulib.kyoto-u.ac.jp/item/rb00003456?page=44</v>
      </c>
      <c r="E4865" s="22"/>
      <c r="F4865" s="22"/>
      <c r="G4865" s="22"/>
    </row>
    <row r="4866" spans="1:7" x14ac:dyDescent="0.15">
      <c r="A4866" s="19" t="s">
        <v>12688</v>
      </c>
      <c r="B4866" s="19" t="s">
        <v>12808</v>
      </c>
      <c r="C4866" s="19">
        <v>44</v>
      </c>
      <c r="D4866" s="19" t="str">
        <f>HYPERLINK("https://rmda.kulib.kyoto-u.ac.jp/item/rb00003456?page=44")</f>
        <v>https://rmda.kulib.kyoto-u.ac.jp/item/rb00003456?page=44</v>
      </c>
      <c r="E4866" s="22"/>
      <c r="F4866" s="22"/>
      <c r="G4866" s="22"/>
    </row>
    <row r="4867" spans="1:7" x14ac:dyDescent="0.15">
      <c r="A4867" s="19" t="s">
        <v>12688</v>
      </c>
      <c r="B4867" s="19" t="s">
        <v>12809</v>
      </c>
      <c r="C4867" s="19">
        <v>44</v>
      </c>
      <c r="D4867" s="19" t="str">
        <f>HYPERLINK("https://rmda.kulib.kyoto-u.ac.jp/item/rb00003456?page=44")</f>
        <v>https://rmda.kulib.kyoto-u.ac.jp/item/rb00003456?page=44</v>
      </c>
      <c r="E4867" s="22"/>
      <c r="F4867" s="22"/>
      <c r="G4867" s="22"/>
    </row>
    <row r="4868" spans="1:7" x14ac:dyDescent="0.15">
      <c r="A4868" s="19" t="s">
        <v>12688</v>
      </c>
      <c r="B4868" s="19" t="s">
        <v>12810</v>
      </c>
      <c r="C4868" s="19">
        <v>45</v>
      </c>
      <c r="D4868" s="19" t="str">
        <f>HYPERLINK("https://rmda.kulib.kyoto-u.ac.jp/item/rb00003456?page=45")</f>
        <v>https://rmda.kulib.kyoto-u.ac.jp/item/rb00003456?page=45</v>
      </c>
      <c r="E4868" s="22"/>
      <c r="F4868" s="22"/>
      <c r="G4868" s="22"/>
    </row>
    <row r="4869" spans="1:7" x14ac:dyDescent="0.15">
      <c r="A4869" s="19" t="s">
        <v>12688</v>
      </c>
      <c r="B4869" s="19" t="s">
        <v>12811</v>
      </c>
      <c r="C4869" s="19">
        <v>45</v>
      </c>
      <c r="D4869" s="19" t="str">
        <f>HYPERLINK("https://rmda.kulib.kyoto-u.ac.jp/item/rb00003456?page=45")</f>
        <v>https://rmda.kulib.kyoto-u.ac.jp/item/rb00003456?page=45</v>
      </c>
      <c r="E4869" s="22"/>
      <c r="F4869" s="22"/>
      <c r="G4869" s="22"/>
    </row>
    <row r="4870" spans="1:7" x14ac:dyDescent="0.15">
      <c r="A4870" s="19" t="s">
        <v>12688</v>
      </c>
      <c r="B4870" s="19" t="s">
        <v>12812</v>
      </c>
      <c r="C4870" s="19">
        <v>45</v>
      </c>
      <c r="D4870" s="19" t="str">
        <f>HYPERLINK("https://rmda.kulib.kyoto-u.ac.jp/item/rb00003456?page=45")</f>
        <v>https://rmda.kulib.kyoto-u.ac.jp/item/rb00003456?page=45</v>
      </c>
      <c r="E4870" s="22"/>
      <c r="F4870" s="22"/>
      <c r="G4870" s="22"/>
    </row>
    <row r="4871" spans="1:7" x14ac:dyDescent="0.15">
      <c r="A4871" s="19" t="s">
        <v>12688</v>
      </c>
      <c r="B4871" s="19" t="s">
        <v>12813</v>
      </c>
      <c r="C4871" s="19">
        <v>45</v>
      </c>
      <c r="D4871" s="19" t="str">
        <f>HYPERLINK("https://rmda.kulib.kyoto-u.ac.jp/item/rb00003456?page=45")</f>
        <v>https://rmda.kulib.kyoto-u.ac.jp/item/rb00003456?page=45</v>
      </c>
      <c r="E4871" s="22"/>
      <c r="F4871" s="22"/>
      <c r="G4871" s="22"/>
    </row>
    <row r="4872" spans="1:7" x14ac:dyDescent="0.15">
      <c r="A4872" s="19" t="s">
        <v>12688</v>
      </c>
      <c r="B4872" s="19" t="s">
        <v>12814</v>
      </c>
      <c r="C4872" s="19">
        <v>46</v>
      </c>
      <c r="D4872" s="19" t="str">
        <f t="shared" ref="D4872:D4879" si="359">HYPERLINK("https://rmda.kulib.kyoto-u.ac.jp/item/rb00003456?page=46")</f>
        <v>https://rmda.kulib.kyoto-u.ac.jp/item/rb00003456?page=46</v>
      </c>
      <c r="E4872" s="22"/>
      <c r="F4872" s="22"/>
      <c r="G4872" s="22"/>
    </row>
    <row r="4873" spans="1:7" x14ac:dyDescent="0.15">
      <c r="A4873" s="19" t="s">
        <v>12688</v>
      </c>
      <c r="B4873" s="19" t="s">
        <v>12815</v>
      </c>
      <c r="C4873" s="19">
        <v>46</v>
      </c>
      <c r="D4873" s="19" t="str">
        <f t="shared" si="359"/>
        <v>https://rmda.kulib.kyoto-u.ac.jp/item/rb00003456?page=46</v>
      </c>
      <c r="E4873" s="22"/>
      <c r="F4873" s="22"/>
      <c r="G4873" s="22"/>
    </row>
    <row r="4874" spans="1:7" x14ac:dyDescent="0.15">
      <c r="A4874" s="19" t="s">
        <v>12688</v>
      </c>
      <c r="B4874" s="19" t="s">
        <v>12816</v>
      </c>
      <c r="C4874" s="19">
        <v>46</v>
      </c>
      <c r="D4874" s="19" t="str">
        <f t="shared" si="359"/>
        <v>https://rmda.kulib.kyoto-u.ac.jp/item/rb00003456?page=46</v>
      </c>
      <c r="E4874" s="22"/>
      <c r="F4874" s="22"/>
      <c r="G4874" s="22"/>
    </row>
    <row r="4875" spans="1:7" x14ac:dyDescent="0.15">
      <c r="A4875" s="19" t="s">
        <v>12688</v>
      </c>
      <c r="B4875" s="19" t="s">
        <v>12817</v>
      </c>
      <c r="C4875" s="19">
        <v>46</v>
      </c>
      <c r="D4875" s="19" t="str">
        <f t="shared" si="359"/>
        <v>https://rmda.kulib.kyoto-u.ac.jp/item/rb00003456?page=46</v>
      </c>
      <c r="E4875" s="22"/>
      <c r="F4875" s="22"/>
      <c r="G4875" s="22"/>
    </row>
    <row r="4876" spans="1:7" x14ac:dyDescent="0.15">
      <c r="A4876" s="19" t="s">
        <v>12688</v>
      </c>
      <c r="B4876" s="19" t="s">
        <v>12818</v>
      </c>
      <c r="C4876" s="19">
        <v>46</v>
      </c>
      <c r="D4876" s="19" t="str">
        <f t="shared" si="359"/>
        <v>https://rmda.kulib.kyoto-u.ac.jp/item/rb00003456?page=46</v>
      </c>
      <c r="E4876" s="22"/>
      <c r="F4876" s="22"/>
      <c r="G4876" s="22"/>
    </row>
    <row r="4877" spans="1:7" x14ac:dyDescent="0.15">
      <c r="A4877" s="19" t="s">
        <v>12688</v>
      </c>
      <c r="B4877" s="19" t="s">
        <v>12819</v>
      </c>
      <c r="C4877" s="19">
        <v>46</v>
      </c>
      <c r="D4877" s="19" t="str">
        <f t="shared" si="359"/>
        <v>https://rmda.kulib.kyoto-u.ac.jp/item/rb00003456?page=46</v>
      </c>
      <c r="E4877" s="22"/>
      <c r="F4877" s="22"/>
      <c r="G4877" s="22"/>
    </row>
    <row r="4878" spans="1:7" x14ac:dyDescent="0.15">
      <c r="A4878" s="19" t="s">
        <v>12688</v>
      </c>
      <c r="B4878" s="19" t="s">
        <v>12820</v>
      </c>
      <c r="C4878" s="19">
        <v>46</v>
      </c>
      <c r="D4878" s="19" t="str">
        <f t="shared" si="359"/>
        <v>https://rmda.kulib.kyoto-u.ac.jp/item/rb00003456?page=46</v>
      </c>
      <c r="E4878" s="22"/>
      <c r="F4878" s="22"/>
      <c r="G4878" s="22"/>
    </row>
    <row r="4879" spans="1:7" x14ac:dyDescent="0.15">
      <c r="A4879" s="19" t="s">
        <v>12688</v>
      </c>
      <c r="B4879" s="19" t="s">
        <v>12821</v>
      </c>
      <c r="C4879" s="19">
        <v>46</v>
      </c>
      <c r="D4879" s="19" t="str">
        <f t="shared" si="359"/>
        <v>https://rmda.kulib.kyoto-u.ac.jp/item/rb00003456?page=46</v>
      </c>
      <c r="E4879" s="22"/>
      <c r="F4879" s="22"/>
      <c r="G4879" s="22"/>
    </row>
    <row r="4880" spans="1:7" x14ac:dyDescent="0.15">
      <c r="A4880" s="19" t="s">
        <v>12688</v>
      </c>
      <c r="B4880" s="19" t="s">
        <v>12822</v>
      </c>
      <c r="C4880" s="19">
        <v>47</v>
      </c>
      <c r="D4880" s="19" t="str">
        <f>HYPERLINK("https://rmda.kulib.kyoto-u.ac.jp/item/rb00003456?page=47")</f>
        <v>https://rmda.kulib.kyoto-u.ac.jp/item/rb00003456?page=47</v>
      </c>
      <c r="E4880" s="22"/>
      <c r="F4880" s="22"/>
      <c r="G4880" s="22"/>
    </row>
    <row r="4881" spans="1:7" x14ac:dyDescent="0.15">
      <c r="A4881" s="19" t="s">
        <v>12688</v>
      </c>
      <c r="B4881" s="19" t="s">
        <v>12823</v>
      </c>
      <c r="C4881" s="19">
        <v>47</v>
      </c>
      <c r="D4881" s="19" t="str">
        <f>HYPERLINK("https://rmda.kulib.kyoto-u.ac.jp/item/rb00003456?page=47")</f>
        <v>https://rmda.kulib.kyoto-u.ac.jp/item/rb00003456?page=47</v>
      </c>
      <c r="E4881" s="22"/>
      <c r="F4881" s="22"/>
      <c r="G4881" s="22"/>
    </row>
    <row r="4882" spans="1:7" x14ac:dyDescent="0.15">
      <c r="A4882" s="19" t="s">
        <v>12688</v>
      </c>
      <c r="B4882" s="19" t="s">
        <v>12824</v>
      </c>
      <c r="C4882" s="19">
        <v>47</v>
      </c>
      <c r="D4882" s="19" t="str">
        <f>HYPERLINK("https://rmda.kulib.kyoto-u.ac.jp/item/rb00003456?page=47")</f>
        <v>https://rmda.kulib.kyoto-u.ac.jp/item/rb00003456?page=47</v>
      </c>
      <c r="E4882" s="22"/>
      <c r="F4882" s="22"/>
      <c r="G4882" s="22"/>
    </row>
    <row r="4883" spans="1:7" x14ac:dyDescent="0.15">
      <c r="A4883" s="19" t="s">
        <v>12688</v>
      </c>
      <c r="B4883" s="19" t="s">
        <v>12825</v>
      </c>
      <c r="C4883" s="19">
        <v>47</v>
      </c>
      <c r="D4883" s="19" t="str">
        <f>HYPERLINK("https://rmda.kulib.kyoto-u.ac.jp/item/rb00003456?page=47")</f>
        <v>https://rmda.kulib.kyoto-u.ac.jp/item/rb00003456?page=47</v>
      </c>
      <c r="E4883" s="22"/>
      <c r="F4883" s="22"/>
      <c r="G4883" s="22"/>
    </row>
    <row r="4884" spans="1:7" x14ac:dyDescent="0.15">
      <c r="A4884" s="19" t="s">
        <v>12688</v>
      </c>
      <c r="B4884" s="19" t="s">
        <v>12826</v>
      </c>
      <c r="C4884" s="19">
        <v>47</v>
      </c>
      <c r="D4884" s="19" t="str">
        <f>HYPERLINK("https://rmda.kulib.kyoto-u.ac.jp/item/rb00003456?page=47")</f>
        <v>https://rmda.kulib.kyoto-u.ac.jp/item/rb00003456?page=47</v>
      </c>
      <c r="E4884" s="22"/>
      <c r="F4884" s="22"/>
      <c r="G4884" s="22"/>
    </row>
    <row r="4885" spans="1:7" x14ac:dyDescent="0.15">
      <c r="A4885" s="19" t="s">
        <v>12688</v>
      </c>
      <c r="B4885" s="19" t="s">
        <v>12827</v>
      </c>
      <c r="C4885" s="19">
        <v>48</v>
      </c>
      <c r="D4885" s="19" t="str">
        <f t="shared" ref="D4885:D4892" si="360">HYPERLINK("https://rmda.kulib.kyoto-u.ac.jp/item/rb00003456?page=48")</f>
        <v>https://rmda.kulib.kyoto-u.ac.jp/item/rb00003456?page=48</v>
      </c>
      <c r="E4885" s="22"/>
      <c r="F4885" s="22"/>
      <c r="G4885" s="22"/>
    </row>
    <row r="4886" spans="1:7" x14ac:dyDescent="0.15">
      <c r="A4886" s="19" t="s">
        <v>12688</v>
      </c>
      <c r="B4886" s="19" t="s">
        <v>12828</v>
      </c>
      <c r="C4886" s="19">
        <v>48</v>
      </c>
      <c r="D4886" s="19" t="str">
        <f t="shared" si="360"/>
        <v>https://rmda.kulib.kyoto-u.ac.jp/item/rb00003456?page=48</v>
      </c>
      <c r="E4886" s="22"/>
      <c r="F4886" s="22"/>
      <c r="G4886" s="22"/>
    </row>
    <row r="4887" spans="1:7" x14ac:dyDescent="0.15">
      <c r="A4887" s="19" t="s">
        <v>12688</v>
      </c>
      <c r="B4887" s="19" t="s">
        <v>12829</v>
      </c>
      <c r="C4887" s="19">
        <v>48</v>
      </c>
      <c r="D4887" s="19" t="str">
        <f t="shared" si="360"/>
        <v>https://rmda.kulib.kyoto-u.ac.jp/item/rb00003456?page=48</v>
      </c>
      <c r="E4887" s="22"/>
      <c r="F4887" s="22"/>
      <c r="G4887" s="22"/>
    </row>
    <row r="4888" spans="1:7" x14ac:dyDescent="0.15">
      <c r="A4888" s="19" t="s">
        <v>12688</v>
      </c>
      <c r="B4888" s="19" t="s">
        <v>12830</v>
      </c>
      <c r="C4888" s="19">
        <v>48</v>
      </c>
      <c r="D4888" s="19" t="str">
        <f t="shared" si="360"/>
        <v>https://rmda.kulib.kyoto-u.ac.jp/item/rb00003456?page=48</v>
      </c>
      <c r="E4888" s="22"/>
      <c r="F4888" s="22"/>
      <c r="G4888" s="22"/>
    </row>
    <row r="4889" spans="1:7" x14ac:dyDescent="0.15">
      <c r="A4889" s="19" t="s">
        <v>12688</v>
      </c>
      <c r="B4889" s="19" t="s">
        <v>12831</v>
      </c>
      <c r="C4889" s="19">
        <v>48</v>
      </c>
      <c r="D4889" s="19" t="str">
        <f t="shared" si="360"/>
        <v>https://rmda.kulib.kyoto-u.ac.jp/item/rb00003456?page=48</v>
      </c>
      <c r="E4889" s="22"/>
      <c r="F4889" s="22"/>
      <c r="G4889" s="22"/>
    </row>
    <row r="4890" spans="1:7" x14ac:dyDescent="0.15">
      <c r="A4890" s="19" t="s">
        <v>12688</v>
      </c>
      <c r="B4890" s="19" t="s">
        <v>12832</v>
      </c>
      <c r="C4890" s="19">
        <v>48</v>
      </c>
      <c r="D4890" s="19" t="str">
        <f t="shared" si="360"/>
        <v>https://rmda.kulib.kyoto-u.ac.jp/item/rb00003456?page=48</v>
      </c>
      <c r="E4890" s="22"/>
      <c r="F4890" s="22"/>
      <c r="G4890" s="22"/>
    </row>
    <row r="4891" spans="1:7" x14ac:dyDescent="0.15">
      <c r="A4891" s="19" t="s">
        <v>12688</v>
      </c>
      <c r="B4891" s="19" t="s">
        <v>12833</v>
      </c>
      <c r="C4891" s="19">
        <v>48</v>
      </c>
      <c r="D4891" s="19" t="str">
        <f t="shared" si="360"/>
        <v>https://rmda.kulib.kyoto-u.ac.jp/item/rb00003456?page=48</v>
      </c>
      <c r="E4891" s="22"/>
      <c r="F4891" s="22"/>
      <c r="G4891" s="22"/>
    </row>
    <row r="4892" spans="1:7" x14ac:dyDescent="0.15">
      <c r="A4892" s="19" t="s">
        <v>12688</v>
      </c>
      <c r="B4892" s="20" t="s">
        <v>12834</v>
      </c>
      <c r="C4892" s="19">
        <v>48</v>
      </c>
      <c r="D4892" s="19" t="str">
        <f t="shared" si="360"/>
        <v>https://rmda.kulib.kyoto-u.ac.jp/item/rb00003456?page=48</v>
      </c>
      <c r="E4892" s="22"/>
      <c r="F4892" s="22"/>
      <c r="G4892" s="22"/>
    </row>
    <row r="4893" spans="1:7" x14ac:dyDescent="0.15">
      <c r="A4893" s="19" t="s">
        <v>12688</v>
      </c>
      <c r="B4893" s="20" t="s">
        <v>12835</v>
      </c>
      <c r="C4893" s="19">
        <v>51</v>
      </c>
      <c r="D4893" s="19" t="str">
        <f>HYPERLINK("https://rmda.kulib.kyoto-u.ac.jp/item/rb00003456?page=51")</f>
        <v>https://rmda.kulib.kyoto-u.ac.jp/item/rb00003456?page=51</v>
      </c>
      <c r="E4893" s="22"/>
      <c r="F4893" s="22"/>
      <c r="G4893" s="22"/>
    </row>
    <row r="4894" spans="1:7" x14ac:dyDescent="0.15">
      <c r="A4894" s="19" t="s">
        <v>12688</v>
      </c>
      <c r="B4894" s="19" t="s">
        <v>12836</v>
      </c>
      <c r="C4894" s="19">
        <v>51</v>
      </c>
      <c r="D4894" s="19" t="str">
        <f>HYPERLINK("https://rmda.kulib.kyoto-u.ac.jp/item/rb00003456?page=51")</f>
        <v>https://rmda.kulib.kyoto-u.ac.jp/item/rb00003456?page=51</v>
      </c>
      <c r="E4894" s="22"/>
      <c r="F4894" s="22"/>
      <c r="G4894" s="22"/>
    </row>
    <row r="4895" spans="1:7" x14ac:dyDescent="0.15">
      <c r="A4895" s="19" t="s">
        <v>12688</v>
      </c>
      <c r="B4895" s="19" t="s">
        <v>12837</v>
      </c>
      <c r="C4895" s="19">
        <v>52</v>
      </c>
      <c r="D4895" s="19" t="str">
        <f t="shared" ref="D4895:D4902" si="361">HYPERLINK("https://rmda.kulib.kyoto-u.ac.jp/item/rb00003456?page=52")</f>
        <v>https://rmda.kulib.kyoto-u.ac.jp/item/rb00003456?page=52</v>
      </c>
      <c r="E4895" s="22"/>
      <c r="F4895" s="22"/>
      <c r="G4895" s="22"/>
    </row>
    <row r="4896" spans="1:7" x14ac:dyDescent="0.15">
      <c r="A4896" s="19" t="s">
        <v>12688</v>
      </c>
      <c r="B4896" s="19" t="s">
        <v>5818</v>
      </c>
      <c r="C4896" s="19">
        <v>52</v>
      </c>
      <c r="D4896" s="19" t="str">
        <f t="shared" si="361"/>
        <v>https://rmda.kulib.kyoto-u.ac.jp/item/rb00003456?page=52</v>
      </c>
      <c r="E4896" s="22"/>
      <c r="F4896" s="22"/>
      <c r="G4896" s="22"/>
    </row>
    <row r="4897" spans="1:7" x14ac:dyDescent="0.15">
      <c r="A4897" s="19" t="s">
        <v>12688</v>
      </c>
      <c r="B4897" s="19" t="s">
        <v>7644</v>
      </c>
      <c r="C4897" s="19">
        <v>52</v>
      </c>
      <c r="D4897" s="19" t="str">
        <f t="shared" si="361"/>
        <v>https://rmda.kulib.kyoto-u.ac.jp/item/rb00003456?page=52</v>
      </c>
      <c r="E4897" s="22"/>
      <c r="F4897" s="22"/>
      <c r="G4897" s="22"/>
    </row>
    <row r="4898" spans="1:7" x14ac:dyDescent="0.15">
      <c r="A4898" s="19" t="s">
        <v>12688</v>
      </c>
      <c r="B4898" s="19" t="s">
        <v>12838</v>
      </c>
      <c r="C4898" s="19">
        <v>52</v>
      </c>
      <c r="D4898" s="19" t="str">
        <f t="shared" si="361"/>
        <v>https://rmda.kulib.kyoto-u.ac.jp/item/rb00003456?page=52</v>
      </c>
      <c r="E4898" s="22"/>
      <c r="F4898" s="22"/>
      <c r="G4898" s="22"/>
    </row>
    <row r="4899" spans="1:7" x14ac:dyDescent="0.15">
      <c r="A4899" s="19" t="s">
        <v>12688</v>
      </c>
      <c r="B4899" s="19" t="s">
        <v>12839</v>
      </c>
      <c r="C4899" s="19">
        <v>52</v>
      </c>
      <c r="D4899" s="19" t="str">
        <f t="shared" si="361"/>
        <v>https://rmda.kulib.kyoto-u.ac.jp/item/rb00003456?page=52</v>
      </c>
      <c r="E4899" s="22"/>
      <c r="F4899" s="22"/>
      <c r="G4899" s="22"/>
    </row>
    <row r="4900" spans="1:7" x14ac:dyDescent="0.15">
      <c r="A4900" s="19" t="s">
        <v>12688</v>
      </c>
      <c r="B4900" s="19" t="s">
        <v>12840</v>
      </c>
      <c r="C4900" s="19">
        <v>52</v>
      </c>
      <c r="D4900" s="19" t="str">
        <f t="shared" si="361"/>
        <v>https://rmda.kulib.kyoto-u.ac.jp/item/rb00003456?page=52</v>
      </c>
      <c r="E4900" s="22"/>
      <c r="F4900" s="22"/>
      <c r="G4900" s="22"/>
    </row>
    <row r="4901" spans="1:7" x14ac:dyDescent="0.15">
      <c r="A4901" s="19" t="s">
        <v>12688</v>
      </c>
      <c r="B4901" s="19" t="s">
        <v>12841</v>
      </c>
      <c r="C4901" s="19">
        <v>52</v>
      </c>
      <c r="D4901" s="19" t="str">
        <f t="shared" si="361"/>
        <v>https://rmda.kulib.kyoto-u.ac.jp/item/rb00003456?page=52</v>
      </c>
      <c r="E4901" s="22"/>
      <c r="F4901" s="22"/>
      <c r="G4901" s="22"/>
    </row>
    <row r="4902" spans="1:7" x14ac:dyDescent="0.15">
      <c r="A4902" s="19" t="s">
        <v>12688</v>
      </c>
      <c r="B4902" s="19" t="s">
        <v>12842</v>
      </c>
      <c r="C4902" s="19">
        <v>52</v>
      </c>
      <c r="D4902" s="19" t="str">
        <f t="shared" si="361"/>
        <v>https://rmda.kulib.kyoto-u.ac.jp/item/rb00003456?page=52</v>
      </c>
      <c r="E4902" s="22"/>
      <c r="F4902" s="22"/>
      <c r="G4902" s="22"/>
    </row>
    <row r="4903" spans="1:7" x14ac:dyDescent="0.15">
      <c r="A4903" s="19" t="s">
        <v>12688</v>
      </c>
      <c r="B4903" s="19" t="s">
        <v>12843</v>
      </c>
      <c r="C4903" s="19">
        <v>53</v>
      </c>
      <c r="D4903" s="19" t="str">
        <f t="shared" ref="D4903:D4910" si="362">HYPERLINK("https://rmda.kulib.kyoto-u.ac.jp/item/rb00003456?page=53")</f>
        <v>https://rmda.kulib.kyoto-u.ac.jp/item/rb00003456?page=53</v>
      </c>
      <c r="E4903" s="22"/>
      <c r="F4903" s="22"/>
      <c r="G4903" s="22"/>
    </row>
    <row r="4904" spans="1:7" x14ac:dyDescent="0.15">
      <c r="A4904" s="19" t="s">
        <v>12688</v>
      </c>
      <c r="B4904" s="19" t="s">
        <v>12844</v>
      </c>
      <c r="C4904" s="19">
        <v>53</v>
      </c>
      <c r="D4904" s="19" t="str">
        <f t="shared" si="362"/>
        <v>https://rmda.kulib.kyoto-u.ac.jp/item/rb00003456?page=53</v>
      </c>
      <c r="E4904" s="22"/>
      <c r="F4904" s="22"/>
      <c r="G4904" s="22"/>
    </row>
    <row r="4905" spans="1:7" x14ac:dyDescent="0.15">
      <c r="A4905" s="19" t="s">
        <v>12688</v>
      </c>
      <c r="B4905" s="19" t="s">
        <v>12845</v>
      </c>
      <c r="C4905" s="19">
        <v>53</v>
      </c>
      <c r="D4905" s="19" t="str">
        <f t="shared" si="362"/>
        <v>https://rmda.kulib.kyoto-u.ac.jp/item/rb00003456?page=53</v>
      </c>
      <c r="E4905" s="22"/>
      <c r="F4905" s="22"/>
      <c r="G4905" s="22"/>
    </row>
    <row r="4906" spans="1:7" x14ac:dyDescent="0.15">
      <c r="A4906" s="19" t="s">
        <v>12688</v>
      </c>
      <c r="B4906" s="19" t="s">
        <v>12846</v>
      </c>
      <c r="C4906" s="19">
        <v>53</v>
      </c>
      <c r="D4906" s="19" t="str">
        <f t="shared" si="362"/>
        <v>https://rmda.kulib.kyoto-u.ac.jp/item/rb00003456?page=53</v>
      </c>
      <c r="E4906" s="22"/>
      <c r="F4906" s="22"/>
      <c r="G4906" s="22"/>
    </row>
    <row r="4907" spans="1:7" x14ac:dyDescent="0.15">
      <c r="A4907" s="19" t="s">
        <v>12688</v>
      </c>
      <c r="B4907" s="19" t="s">
        <v>12847</v>
      </c>
      <c r="C4907" s="19">
        <v>53</v>
      </c>
      <c r="D4907" s="19" t="str">
        <f t="shared" si="362"/>
        <v>https://rmda.kulib.kyoto-u.ac.jp/item/rb00003456?page=53</v>
      </c>
      <c r="E4907" s="22"/>
      <c r="F4907" s="22"/>
      <c r="G4907" s="22"/>
    </row>
    <row r="4908" spans="1:7" x14ac:dyDescent="0.15">
      <c r="A4908" s="19" t="s">
        <v>12688</v>
      </c>
      <c r="B4908" s="19" t="s">
        <v>12848</v>
      </c>
      <c r="C4908" s="19">
        <v>53</v>
      </c>
      <c r="D4908" s="19" t="str">
        <f t="shared" si="362"/>
        <v>https://rmda.kulib.kyoto-u.ac.jp/item/rb00003456?page=53</v>
      </c>
      <c r="E4908" s="22"/>
      <c r="F4908" s="22"/>
      <c r="G4908" s="22"/>
    </row>
    <row r="4909" spans="1:7" x14ac:dyDescent="0.15">
      <c r="A4909" s="19" t="s">
        <v>12688</v>
      </c>
      <c r="B4909" s="19" t="s">
        <v>12849</v>
      </c>
      <c r="C4909" s="19">
        <v>53</v>
      </c>
      <c r="D4909" s="19" t="str">
        <f t="shared" si="362"/>
        <v>https://rmda.kulib.kyoto-u.ac.jp/item/rb00003456?page=53</v>
      </c>
      <c r="E4909" s="22"/>
      <c r="F4909" s="22"/>
      <c r="G4909" s="22"/>
    </row>
    <row r="4910" spans="1:7" x14ac:dyDescent="0.15">
      <c r="A4910" s="19" t="s">
        <v>12688</v>
      </c>
      <c r="B4910" s="19" t="s">
        <v>12850</v>
      </c>
      <c r="C4910" s="19">
        <v>53</v>
      </c>
      <c r="D4910" s="19" t="str">
        <f t="shared" si="362"/>
        <v>https://rmda.kulib.kyoto-u.ac.jp/item/rb00003456?page=53</v>
      </c>
      <c r="E4910" s="22"/>
      <c r="F4910" s="22"/>
      <c r="G4910" s="22"/>
    </row>
    <row r="4911" spans="1:7" x14ac:dyDescent="0.15">
      <c r="A4911" s="19" t="s">
        <v>12688</v>
      </c>
      <c r="B4911" s="19" t="s">
        <v>12851</v>
      </c>
      <c r="C4911" s="19">
        <v>54</v>
      </c>
      <c r="D4911" s="19" t="str">
        <f>HYPERLINK("https://rmda.kulib.kyoto-u.ac.jp/item/rb00003456?page=54")</f>
        <v>https://rmda.kulib.kyoto-u.ac.jp/item/rb00003456?page=54</v>
      </c>
      <c r="E4911" s="22"/>
      <c r="F4911" s="22"/>
      <c r="G4911" s="22"/>
    </row>
    <row r="4912" spans="1:7" x14ac:dyDescent="0.15">
      <c r="A4912" s="19" t="s">
        <v>12688</v>
      </c>
      <c r="B4912" s="19" t="s">
        <v>12852</v>
      </c>
      <c r="C4912" s="19">
        <v>55</v>
      </c>
      <c r="D4912" s="19" t="str">
        <f>HYPERLINK("https://rmda.kulib.kyoto-u.ac.jp/item/rb00003456?page=55")</f>
        <v>https://rmda.kulib.kyoto-u.ac.jp/item/rb00003456?page=55</v>
      </c>
      <c r="E4912" s="22"/>
      <c r="F4912" s="22"/>
      <c r="G4912" s="22"/>
    </row>
    <row r="4913" spans="1:7" x14ac:dyDescent="0.15">
      <c r="A4913" s="19" t="s">
        <v>12688</v>
      </c>
      <c r="B4913" s="19" t="s">
        <v>12853</v>
      </c>
      <c r="C4913" s="19">
        <v>57</v>
      </c>
      <c r="D4913" s="19" t="str">
        <f>HYPERLINK("https://rmda.kulib.kyoto-u.ac.jp/item/rb00003456?page=57")</f>
        <v>https://rmda.kulib.kyoto-u.ac.jp/item/rb00003456?page=57</v>
      </c>
      <c r="E4913" s="22"/>
      <c r="F4913" s="22"/>
      <c r="G4913" s="22"/>
    </row>
    <row r="4914" spans="1:7" x14ac:dyDescent="0.15">
      <c r="A4914" s="19" t="s">
        <v>12688</v>
      </c>
      <c r="B4914" s="19" t="s">
        <v>12854</v>
      </c>
      <c r="C4914" s="19">
        <v>58</v>
      </c>
      <c r="D4914" s="19" t="str">
        <f>HYPERLINK("https://rmda.kulib.kyoto-u.ac.jp/item/rb00003456?page=58")</f>
        <v>https://rmda.kulib.kyoto-u.ac.jp/item/rb00003456?page=58</v>
      </c>
      <c r="E4914" s="22"/>
      <c r="F4914" s="22"/>
      <c r="G4914" s="22"/>
    </row>
    <row r="4915" spans="1:7" x14ac:dyDescent="0.15">
      <c r="A4915" s="19" t="s">
        <v>12688</v>
      </c>
      <c r="B4915" s="19" t="s">
        <v>12855</v>
      </c>
      <c r="C4915" s="19">
        <v>59</v>
      </c>
      <c r="D4915" s="19" t="str">
        <f>HYPERLINK("https://rmda.kulib.kyoto-u.ac.jp/item/rb00003456?page=59")</f>
        <v>https://rmda.kulib.kyoto-u.ac.jp/item/rb00003456?page=59</v>
      </c>
      <c r="E4915" s="22"/>
      <c r="F4915" s="22"/>
      <c r="G4915" s="22"/>
    </row>
    <row r="4916" spans="1:7" x14ac:dyDescent="0.15">
      <c r="A4916" s="19" t="s">
        <v>12688</v>
      </c>
      <c r="B4916" s="19" t="s">
        <v>12856</v>
      </c>
      <c r="C4916" s="19">
        <v>60</v>
      </c>
      <c r="D4916" s="19" t="str">
        <f>HYPERLINK("https://rmda.kulib.kyoto-u.ac.jp/item/rb00003456?page=60")</f>
        <v>https://rmda.kulib.kyoto-u.ac.jp/item/rb00003456?page=60</v>
      </c>
      <c r="E4916" s="22"/>
      <c r="F4916" s="22"/>
      <c r="G4916" s="22"/>
    </row>
    <row r="4917" spans="1:7" x14ac:dyDescent="0.15">
      <c r="A4917" s="19" t="s">
        <v>12688</v>
      </c>
      <c r="B4917" s="19" t="s">
        <v>12857</v>
      </c>
      <c r="C4917" s="19">
        <v>62</v>
      </c>
      <c r="D4917" s="19" t="str">
        <f>HYPERLINK("https://rmda.kulib.kyoto-u.ac.jp/item/rb00003456?page=62")</f>
        <v>https://rmda.kulib.kyoto-u.ac.jp/item/rb00003456?page=62</v>
      </c>
      <c r="E4917" s="22"/>
      <c r="F4917" s="22"/>
      <c r="G4917" s="22"/>
    </row>
    <row r="4918" spans="1:7" x14ac:dyDescent="0.15">
      <c r="A4918" s="19" t="s">
        <v>12688</v>
      </c>
      <c r="B4918" s="19" t="s">
        <v>12858</v>
      </c>
      <c r="C4918" s="19">
        <v>63</v>
      </c>
      <c r="D4918" s="19" t="str">
        <f>HYPERLINK("https://rmda.kulib.kyoto-u.ac.jp/item/rb00003456?page=63")</f>
        <v>https://rmda.kulib.kyoto-u.ac.jp/item/rb00003456?page=63</v>
      </c>
      <c r="E4918" s="22"/>
      <c r="F4918" s="22"/>
      <c r="G4918" s="22"/>
    </row>
    <row r="4919" spans="1:7" x14ac:dyDescent="0.15">
      <c r="A4919" s="19" t="s">
        <v>12688</v>
      </c>
      <c r="B4919" s="19" t="s">
        <v>12859</v>
      </c>
      <c r="C4919" s="19">
        <v>63</v>
      </c>
      <c r="D4919" s="19" t="str">
        <f>HYPERLINK("https://rmda.kulib.kyoto-u.ac.jp/item/rb00003456?page=63")</f>
        <v>https://rmda.kulib.kyoto-u.ac.jp/item/rb00003456?page=63</v>
      </c>
      <c r="E4919" s="22"/>
      <c r="F4919" s="22"/>
      <c r="G4919" s="22"/>
    </row>
    <row r="4920" spans="1:7" x14ac:dyDescent="0.15">
      <c r="A4920" s="19" t="s">
        <v>12688</v>
      </c>
      <c r="B4920" s="19" t="s">
        <v>12860</v>
      </c>
      <c r="C4920" s="19">
        <v>65</v>
      </c>
      <c r="D4920" s="19" t="str">
        <f>HYPERLINK("https://rmda.kulib.kyoto-u.ac.jp/item/rb00003456?page=65")</f>
        <v>https://rmda.kulib.kyoto-u.ac.jp/item/rb00003456?page=65</v>
      </c>
      <c r="E4920" s="22"/>
      <c r="F4920" s="22"/>
      <c r="G4920" s="22"/>
    </row>
    <row r="4921" spans="1:7" x14ac:dyDescent="0.15">
      <c r="A4921" s="19" t="s">
        <v>12688</v>
      </c>
      <c r="B4921" s="19" t="s">
        <v>12861</v>
      </c>
      <c r="C4921" s="19">
        <v>67</v>
      </c>
      <c r="D4921" s="19" t="str">
        <f>HYPERLINK("https://rmda.kulib.kyoto-u.ac.jp/item/rb00003456?page=67")</f>
        <v>https://rmda.kulib.kyoto-u.ac.jp/item/rb00003456?page=67</v>
      </c>
      <c r="E4921" s="22"/>
      <c r="F4921" s="22"/>
      <c r="G4921" s="22"/>
    </row>
    <row r="4922" spans="1:7" x14ac:dyDescent="0.15">
      <c r="A4922" s="19" t="s">
        <v>12688</v>
      </c>
      <c r="B4922" s="19" t="s">
        <v>12862</v>
      </c>
      <c r="C4922" s="19">
        <v>68</v>
      </c>
      <c r="D4922" s="19" t="str">
        <f>HYPERLINK("https://rmda.kulib.kyoto-u.ac.jp/item/rb00003456?page=68")</f>
        <v>https://rmda.kulib.kyoto-u.ac.jp/item/rb00003456?page=68</v>
      </c>
      <c r="E4922" s="22"/>
      <c r="F4922" s="22"/>
      <c r="G4922" s="22"/>
    </row>
    <row r="4923" spans="1:7" x14ac:dyDescent="0.15">
      <c r="A4923" s="19" t="s">
        <v>12688</v>
      </c>
      <c r="B4923" s="19" t="s">
        <v>12863</v>
      </c>
      <c r="C4923" s="19">
        <v>69</v>
      </c>
      <c r="D4923" s="19" t="str">
        <f>HYPERLINK("https://rmda.kulib.kyoto-u.ac.jp/item/rb00003456?page=69")</f>
        <v>https://rmda.kulib.kyoto-u.ac.jp/item/rb00003456?page=69</v>
      </c>
      <c r="E4923" s="22"/>
      <c r="F4923" s="22"/>
      <c r="G4923" s="22"/>
    </row>
    <row r="4924" spans="1:7" x14ac:dyDescent="0.15">
      <c r="A4924" s="19" t="s">
        <v>12688</v>
      </c>
      <c r="B4924" s="19" t="s">
        <v>12864</v>
      </c>
      <c r="C4924" s="19">
        <v>70</v>
      </c>
      <c r="D4924" s="19" t="str">
        <f>HYPERLINK("https://rmda.kulib.kyoto-u.ac.jp/item/rb00003456?page=70")</f>
        <v>https://rmda.kulib.kyoto-u.ac.jp/item/rb00003456?page=70</v>
      </c>
      <c r="E4924" s="22"/>
      <c r="F4924" s="22"/>
      <c r="G4924" s="22"/>
    </row>
    <row r="4925" spans="1:7" x14ac:dyDescent="0.15">
      <c r="A4925" s="19" t="s">
        <v>12688</v>
      </c>
      <c r="B4925" s="19" t="s">
        <v>12865</v>
      </c>
      <c r="C4925" s="19">
        <v>72</v>
      </c>
      <c r="D4925" s="19" t="str">
        <f>HYPERLINK("https://rmda.kulib.kyoto-u.ac.jp/item/rb00003456?page=72")</f>
        <v>https://rmda.kulib.kyoto-u.ac.jp/item/rb00003456?page=72</v>
      </c>
      <c r="E4925" s="22"/>
      <c r="F4925" s="22"/>
      <c r="G4925" s="22"/>
    </row>
    <row r="4926" spans="1:7" x14ac:dyDescent="0.15">
      <c r="A4926" s="19" t="s">
        <v>12688</v>
      </c>
      <c r="B4926" s="19" t="s">
        <v>12866</v>
      </c>
      <c r="C4926" s="19">
        <v>75</v>
      </c>
      <c r="D4926" s="19" t="str">
        <f>HYPERLINK("https://rmda.kulib.kyoto-u.ac.jp/item/rb00003456?page=75")</f>
        <v>https://rmda.kulib.kyoto-u.ac.jp/item/rb00003456?page=75</v>
      </c>
      <c r="E4926" s="22"/>
      <c r="F4926" s="22"/>
      <c r="G4926" s="22"/>
    </row>
    <row r="4927" spans="1:7" x14ac:dyDescent="0.15">
      <c r="A4927" s="19" t="s">
        <v>12867</v>
      </c>
      <c r="B4927" s="19" t="s">
        <v>12868</v>
      </c>
      <c r="C4927" s="19"/>
      <c r="D4927" s="19"/>
      <c r="E4927" s="22"/>
      <c r="F4927" s="22"/>
      <c r="G4927" s="22"/>
    </row>
    <row r="4928" spans="1:7" x14ac:dyDescent="0.15">
      <c r="A4928" s="19" t="s">
        <v>12867</v>
      </c>
      <c r="B4928" s="19" t="s">
        <v>12869</v>
      </c>
      <c r="C4928" s="19"/>
      <c r="D4928" s="19"/>
      <c r="E4928" s="22"/>
      <c r="F4928" s="22"/>
      <c r="G4928" s="22"/>
    </row>
    <row r="4929" spans="1:7" x14ac:dyDescent="0.15">
      <c r="A4929" s="19" t="s">
        <v>12867</v>
      </c>
      <c r="B4929" s="19" t="s">
        <v>12870</v>
      </c>
      <c r="C4929" s="19"/>
      <c r="D4929" s="19"/>
      <c r="E4929" s="22"/>
      <c r="F4929" s="22"/>
      <c r="G4929" s="22"/>
    </row>
    <row r="4930" spans="1:7" x14ac:dyDescent="0.15">
      <c r="A4930" s="19" t="s">
        <v>12867</v>
      </c>
      <c r="B4930" s="19" t="s">
        <v>12871</v>
      </c>
      <c r="C4930" s="19"/>
      <c r="D4930" s="19"/>
      <c r="E4930" s="22"/>
      <c r="F4930" s="22"/>
      <c r="G4930" s="22"/>
    </row>
    <row r="4931" spans="1:7" x14ac:dyDescent="0.15">
      <c r="A4931" s="19" t="s">
        <v>12867</v>
      </c>
      <c r="B4931" s="19" t="s">
        <v>12872</v>
      </c>
      <c r="C4931" s="19"/>
      <c r="D4931" s="19"/>
      <c r="E4931" s="22"/>
      <c r="F4931" s="22"/>
      <c r="G4931" s="22"/>
    </row>
    <row r="4932" spans="1:7" x14ac:dyDescent="0.15">
      <c r="A4932" s="19" t="s">
        <v>12867</v>
      </c>
      <c r="B4932" s="19" t="s">
        <v>12873</v>
      </c>
      <c r="C4932" s="19"/>
      <c r="D4932" s="19"/>
      <c r="E4932" s="22"/>
      <c r="F4932" s="22"/>
      <c r="G4932" s="22"/>
    </row>
    <row r="4933" spans="1:7" x14ac:dyDescent="0.15">
      <c r="A4933" s="19" t="s">
        <v>12867</v>
      </c>
      <c r="B4933" s="19" t="s">
        <v>12874</v>
      </c>
      <c r="C4933" s="19"/>
      <c r="D4933" s="19"/>
      <c r="E4933" s="22"/>
      <c r="F4933" s="22"/>
      <c r="G4933" s="22"/>
    </row>
    <row r="4934" spans="1:7" x14ac:dyDescent="0.15">
      <c r="A4934" s="19" t="s">
        <v>12867</v>
      </c>
      <c r="B4934" s="19" t="s">
        <v>12875</v>
      </c>
      <c r="C4934" s="19"/>
      <c r="D4934" s="19"/>
      <c r="E4934" s="22"/>
      <c r="F4934" s="22"/>
      <c r="G4934" s="22"/>
    </row>
    <row r="4935" spans="1:7" x14ac:dyDescent="0.15">
      <c r="A4935" s="19" t="s">
        <v>12867</v>
      </c>
      <c r="B4935" s="19" t="s">
        <v>12876</v>
      </c>
      <c r="C4935" s="19"/>
      <c r="D4935" s="19"/>
      <c r="E4935" s="22"/>
      <c r="F4935" s="22"/>
      <c r="G4935" s="22"/>
    </row>
    <row r="4936" spans="1:7" x14ac:dyDescent="0.15">
      <c r="A4936" s="19" t="s">
        <v>12867</v>
      </c>
      <c r="B4936" s="19" t="s">
        <v>12877</v>
      </c>
      <c r="C4936" s="19"/>
      <c r="D4936" s="19"/>
      <c r="E4936" s="22"/>
      <c r="F4936" s="22"/>
      <c r="G4936" s="22"/>
    </row>
    <row r="4937" spans="1:7" x14ac:dyDescent="0.15">
      <c r="A4937" s="19" t="s">
        <v>12867</v>
      </c>
      <c r="B4937" s="19" t="s">
        <v>12878</v>
      </c>
      <c r="C4937" s="19"/>
      <c r="D4937" s="19"/>
      <c r="E4937" s="22"/>
      <c r="F4937" s="22"/>
      <c r="G4937" s="22"/>
    </row>
    <row r="4938" spans="1:7" x14ac:dyDescent="0.15">
      <c r="A4938" s="19" t="s">
        <v>12867</v>
      </c>
      <c r="B4938" s="19" t="s">
        <v>12879</v>
      </c>
      <c r="C4938" s="19"/>
      <c r="D4938" s="19"/>
      <c r="E4938" s="22"/>
      <c r="F4938" s="22"/>
      <c r="G4938" s="22"/>
    </row>
    <row r="4939" spans="1:7" x14ac:dyDescent="0.15">
      <c r="A4939" s="19" t="s">
        <v>12867</v>
      </c>
      <c r="B4939" s="19" t="s">
        <v>12880</v>
      </c>
      <c r="C4939" s="19"/>
      <c r="D4939" s="19"/>
      <c r="E4939" s="22"/>
      <c r="F4939" s="22"/>
      <c r="G4939" s="22"/>
    </row>
    <row r="4940" spans="1:7" x14ac:dyDescent="0.15">
      <c r="A4940" s="19" t="s">
        <v>12867</v>
      </c>
      <c r="B4940" s="19" t="s">
        <v>12881</v>
      </c>
      <c r="C4940" s="19"/>
      <c r="D4940" s="19"/>
      <c r="E4940" s="22"/>
      <c r="F4940" s="22"/>
      <c r="G4940" s="22"/>
    </row>
    <row r="4941" spans="1:7" x14ac:dyDescent="0.15">
      <c r="A4941" s="19" t="s">
        <v>12867</v>
      </c>
      <c r="B4941" s="19" t="s">
        <v>12882</v>
      </c>
      <c r="C4941" s="19"/>
      <c r="D4941" s="19"/>
      <c r="E4941" s="22"/>
      <c r="F4941" s="22"/>
      <c r="G4941" s="22"/>
    </row>
    <row r="4942" spans="1:7" x14ac:dyDescent="0.15">
      <c r="A4942" s="19" t="s">
        <v>12867</v>
      </c>
      <c r="B4942" s="19" t="s">
        <v>12883</v>
      </c>
      <c r="C4942" s="19"/>
      <c r="D4942" s="19"/>
      <c r="E4942" s="22"/>
      <c r="F4942" s="22"/>
      <c r="G4942" s="22"/>
    </row>
    <row r="4943" spans="1:7" x14ac:dyDescent="0.15">
      <c r="A4943" s="19" t="s">
        <v>12867</v>
      </c>
      <c r="B4943" s="19" t="s">
        <v>12884</v>
      </c>
      <c r="C4943" s="19"/>
      <c r="D4943" s="19"/>
      <c r="E4943" s="22"/>
      <c r="F4943" s="22"/>
      <c r="G4943" s="22"/>
    </row>
    <row r="4944" spans="1:7" x14ac:dyDescent="0.15">
      <c r="A4944" s="19" t="s">
        <v>12867</v>
      </c>
      <c r="B4944" s="19" t="s">
        <v>12885</v>
      </c>
      <c r="C4944" s="19"/>
      <c r="D4944" s="19"/>
      <c r="E4944" s="22"/>
      <c r="F4944" s="22"/>
      <c r="G4944" s="22"/>
    </row>
    <row r="4945" spans="1:7" x14ac:dyDescent="0.15">
      <c r="A4945" s="19" t="s">
        <v>12867</v>
      </c>
      <c r="B4945" s="19" t="s">
        <v>12886</v>
      </c>
      <c r="C4945" s="19"/>
      <c r="D4945" s="19"/>
      <c r="E4945" s="22"/>
      <c r="F4945" s="22"/>
      <c r="G4945" s="22"/>
    </row>
    <row r="4946" spans="1:7" x14ac:dyDescent="0.15">
      <c r="A4946" s="19" t="s">
        <v>12867</v>
      </c>
      <c r="B4946" s="19" t="s">
        <v>12887</v>
      </c>
      <c r="C4946" s="19"/>
      <c r="D4946" s="19"/>
      <c r="E4946" s="22"/>
      <c r="F4946" s="22"/>
      <c r="G4946" s="22"/>
    </row>
    <row r="4947" spans="1:7" x14ac:dyDescent="0.15">
      <c r="A4947" s="19" t="s">
        <v>12867</v>
      </c>
      <c r="B4947" s="19" t="s">
        <v>12888</v>
      </c>
      <c r="C4947" s="19"/>
      <c r="D4947" s="19"/>
      <c r="E4947" s="22"/>
      <c r="F4947" s="22"/>
      <c r="G4947" s="22"/>
    </row>
    <row r="4948" spans="1:7" x14ac:dyDescent="0.15">
      <c r="A4948" s="19" t="s">
        <v>12867</v>
      </c>
      <c r="B4948" s="19" t="s">
        <v>12889</v>
      </c>
      <c r="C4948" s="19"/>
      <c r="D4948" s="19"/>
      <c r="E4948" s="22"/>
      <c r="F4948" s="22"/>
      <c r="G4948" s="22"/>
    </row>
    <row r="4949" spans="1:7" x14ac:dyDescent="0.15">
      <c r="A4949" s="19" t="s">
        <v>12867</v>
      </c>
      <c r="B4949" s="19" t="s">
        <v>12890</v>
      </c>
      <c r="C4949" s="19"/>
      <c r="D4949" s="19"/>
      <c r="E4949" s="22"/>
      <c r="F4949" s="22"/>
      <c r="G4949" s="22"/>
    </row>
    <row r="4950" spans="1:7" x14ac:dyDescent="0.15">
      <c r="A4950" s="19" t="s">
        <v>12867</v>
      </c>
      <c r="B4950" s="19" t="s">
        <v>12891</v>
      </c>
      <c r="C4950" s="19"/>
      <c r="D4950" s="19"/>
      <c r="E4950" s="22"/>
      <c r="F4950" s="22"/>
      <c r="G4950" s="22"/>
    </row>
    <row r="4951" spans="1:7" x14ac:dyDescent="0.15">
      <c r="A4951" s="19" t="s">
        <v>12867</v>
      </c>
      <c r="B4951" s="19" t="s">
        <v>12892</v>
      </c>
      <c r="C4951" s="19"/>
      <c r="D4951" s="19"/>
      <c r="E4951" s="22"/>
      <c r="F4951" s="22"/>
      <c r="G4951" s="22"/>
    </row>
    <row r="4952" spans="1:7" x14ac:dyDescent="0.15">
      <c r="A4952" s="19" t="s">
        <v>12867</v>
      </c>
      <c r="B4952" s="19" t="s">
        <v>12893</v>
      </c>
      <c r="C4952" s="19"/>
      <c r="D4952" s="19"/>
      <c r="E4952" s="22"/>
      <c r="F4952" s="22"/>
      <c r="G4952" s="22"/>
    </row>
    <row r="4953" spans="1:7" x14ac:dyDescent="0.15">
      <c r="A4953" s="19" t="s">
        <v>12867</v>
      </c>
      <c r="B4953" s="19" t="s">
        <v>12894</v>
      </c>
      <c r="C4953" s="19"/>
      <c r="D4953" s="19"/>
      <c r="E4953" s="22"/>
      <c r="F4953" s="22"/>
      <c r="G4953" s="22"/>
    </row>
    <row r="4954" spans="1:7" x14ac:dyDescent="0.15">
      <c r="A4954" s="19" t="s">
        <v>12867</v>
      </c>
      <c r="B4954" s="19" t="s">
        <v>12895</v>
      </c>
      <c r="C4954" s="19"/>
      <c r="D4954" s="19"/>
      <c r="E4954" s="22"/>
      <c r="F4954" s="22"/>
      <c r="G4954" s="22"/>
    </row>
    <row r="4955" spans="1:7" x14ac:dyDescent="0.15">
      <c r="A4955" s="19" t="s">
        <v>12867</v>
      </c>
      <c r="B4955" s="19" t="s">
        <v>12896</v>
      </c>
      <c r="C4955" s="19"/>
      <c r="D4955" s="19"/>
      <c r="E4955" s="22"/>
      <c r="F4955" s="22"/>
      <c r="G4955" s="22"/>
    </row>
    <row r="4956" spans="1:7" x14ac:dyDescent="0.15">
      <c r="A4956" s="19" t="s">
        <v>12867</v>
      </c>
      <c r="B4956" s="19" t="s">
        <v>12897</v>
      </c>
      <c r="C4956" s="19"/>
      <c r="D4956" s="19"/>
      <c r="E4956" s="22"/>
      <c r="F4956" s="22"/>
      <c r="G4956" s="22"/>
    </row>
    <row r="4957" spans="1:7" x14ac:dyDescent="0.15">
      <c r="A4957" s="19" t="s">
        <v>12867</v>
      </c>
      <c r="B4957" s="19" t="s">
        <v>12898</v>
      </c>
      <c r="C4957" s="19"/>
      <c r="D4957" s="19"/>
      <c r="E4957" s="22"/>
      <c r="F4957" s="22"/>
      <c r="G4957" s="22"/>
    </row>
    <row r="4958" spans="1:7" x14ac:dyDescent="0.15">
      <c r="A4958" s="19" t="s">
        <v>12867</v>
      </c>
      <c r="B4958" s="19" t="s">
        <v>12899</v>
      </c>
      <c r="C4958" s="19"/>
      <c r="D4958" s="19"/>
      <c r="E4958" s="22"/>
      <c r="F4958" s="22"/>
      <c r="G4958" s="22"/>
    </row>
    <row r="4959" spans="1:7" x14ac:dyDescent="0.15">
      <c r="A4959" s="19" t="s">
        <v>12867</v>
      </c>
      <c r="B4959" s="19" t="s">
        <v>12900</v>
      </c>
      <c r="C4959" s="19"/>
      <c r="D4959" s="19"/>
      <c r="E4959" s="22"/>
      <c r="F4959" s="22"/>
      <c r="G4959" s="22"/>
    </row>
    <row r="4960" spans="1:7" x14ac:dyDescent="0.15">
      <c r="A4960" s="19" t="s">
        <v>12867</v>
      </c>
      <c r="B4960" s="19" t="s">
        <v>12901</v>
      </c>
      <c r="C4960" s="19"/>
      <c r="D4960" s="19"/>
      <c r="E4960" s="22"/>
      <c r="F4960" s="22"/>
      <c r="G4960" s="22"/>
    </row>
    <row r="4961" spans="1:7" x14ac:dyDescent="0.15">
      <c r="A4961" s="19" t="s">
        <v>12867</v>
      </c>
      <c r="B4961" s="19" t="s">
        <v>12902</v>
      </c>
      <c r="C4961" s="19"/>
      <c r="D4961" s="19"/>
      <c r="E4961" s="22"/>
      <c r="F4961" s="22"/>
      <c r="G4961" s="22"/>
    </row>
    <row r="4962" spans="1:7" x14ac:dyDescent="0.15">
      <c r="A4962" s="19" t="s">
        <v>12867</v>
      </c>
      <c r="B4962" s="19" t="s">
        <v>12903</v>
      </c>
      <c r="C4962" s="19"/>
      <c r="D4962" s="19"/>
      <c r="E4962" s="22"/>
      <c r="F4962" s="22"/>
      <c r="G4962" s="22"/>
    </row>
    <row r="4963" spans="1:7" x14ac:dyDescent="0.15">
      <c r="A4963" s="19" t="s">
        <v>12867</v>
      </c>
      <c r="B4963" s="19" t="s">
        <v>12904</v>
      </c>
      <c r="C4963" s="19"/>
      <c r="D4963" s="19"/>
      <c r="E4963" s="22"/>
      <c r="F4963" s="22"/>
      <c r="G4963" s="22"/>
    </row>
    <row r="4964" spans="1:7" x14ac:dyDescent="0.15">
      <c r="A4964" s="19" t="s">
        <v>12867</v>
      </c>
      <c r="B4964" s="19" t="s">
        <v>12905</v>
      </c>
      <c r="C4964" s="19"/>
      <c r="D4964" s="19"/>
      <c r="E4964" s="22"/>
      <c r="F4964" s="22"/>
      <c r="G4964" s="22"/>
    </row>
    <row r="4965" spans="1:7" x14ac:dyDescent="0.15">
      <c r="A4965" s="19" t="s">
        <v>12867</v>
      </c>
      <c r="B4965" s="19" t="s">
        <v>12906</v>
      </c>
      <c r="C4965" s="19"/>
      <c r="D4965" s="19"/>
      <c r="E4965" s="22"/>
      <c r="F4965" s="22"/>
      <c r="G4965" s="22"/>
    </row>
    <row r="4966" spans="1:7" x14ac:dyDescent="0.15">
      <c r="A4966" s="19" t="s">
        <v>12867</v>
      </c>
      <c r="B4966" s="19" t="s">
        <v>12907</v>
      </c>
      <c r="C4966" s="19"/>
      <c r="D4966" s="19"/>
      <c r="E4966" s="22"/>
      <c r="F4966" s="22"/>
      <c r="G4966" s="22"/>
    </row>
    <row r="4967" spans="1:7" x14ac:dyDescent="0.15">
      <c r="A4967" s="19" t="s">
        <v>12867</v>
      </c>
      <c r="B4967" s="19" t="s">
        <v>12908</v>
      </c>
      <c r="C4967" s="19"/>
      <c r="D4967" s="19"/>
      <c r="E4967" s="22"/>
      <c r="F4967" s="22"/>
      <c r="G4967" s="22"/>
    </row>
    <row r="4968" spans="1:7" x14ac:dyDescent="0.15">
      <c r="A4968" s="19" t="s">
        <v>12867</v>
      </c>
      <c r="B4968" s="19" t="s">
        <v>12909</v>
      </c>
      <c r="C4968" s="19"/>
      <c r="D4968" s="19"/>
      <c r="E4968" s="22"/>
      <c r="F4968" s="22"/>
      <c r="G4968" s="22"/>
    </row>
    <row r="4969" spans="1:7" x14ac:dyDescent="0.15">
      <c r="A4969" s="19" t="s">
        <v>12867</v>
      </c>
      <c r="B4969" s="19" t="s">
        <v>12910</v>
      </c>
      <c r="C4969" s="19"/>
      <c r="D4969" s="19"/>
      <c r="E4969" s="22"/>
      <c r="F4969" s="22"/>
      <c r="G4969" s="22"/>
    </row>
    <row r="4970" spans="1:7" x14ac:dyDescent="0.15">
      <c r="A4970" s="19" t="s">
        <v>12867</v>
      </c>
      <c r="B4970" s="19" t="s">
        <v>12911</v>
      </c>
      <c r="C4970" s="19"/>
      <c r="D4970" s="19"/>
      <c r="E4970" s="22"/>
      <c r="F4970" s="22"/>
      <c r="G4970" s="22"/>
    </row>
    <row r="4971" spans="1:7" x14ac:dyDescent="0.15">
      <c r="A4971" s="19" t="s">
        <v>12867</v>
      </c>
      <c r="B4971" s="19" t="s">
        <v>12912</v>
      </c>
      <c r="C4971" s="19"/>
      <c r="D4971" s="19"/>
      <c r="E4971" s="22"/>
      <c r="F4971" s="22"/>
      <c r="G4971" s="22"/>
    </row>
    <row r="4972" spans="1:7" x14ac:dyDescent="0.15">
      <c r="A4972" s="19" t="s">
        <v>12867</v>
      </c>
      <c r="B4972" s="19" t="s">
        <v>12913</v>
      </c>
      <c r="C4972" s="19"/>
      <c r="D4972" s="19"/>
      <c r="E4972" s="22"/>
      <c r="F4972" s="22"/>
      <c r="G4972" s="22"/>
    </row>
    <row r="4973" spans="1:7" x14ac:dyDescent="0.15">
      <c r="A4973" s="19" t="s">
        <v>12867</v>
      </c>
      <c r="B4973" s="19" t="s">
        <v>12914</v>
      </c>
      <c r="C4973" s="19"/>
      <c r="D4973" s="19"/>
      <c r="E4973" s="22"/>
      <c r="F4973" s="22"/>
      <c r="G4973" s="22"/>
    </row>
    <row r="4974" spans="1:7" x14ac:dyDescent="0.15">
      <c r="A4974" s="19" t="s">
        <v>12867</v>
      </c>
      <c r="B4974" s="19" t="s">
        <v>12915</v>
      </c>
      <c r="C4974" s="19"/>
      <c r="D4974" s="19"/>
      <c r="E4974" s="22"/>
      <c r="F4974" s="22"/>
      <c r="G4974" s="22"/>
    </row>
    <row r="4975" spans="1:7" x14ac:dyDescent="0.15">
      <c r="A4975" s="19" t="s">
        <v>12867</v>
      </c>
      <c r="B4975" s="19" t="s">
        <v>12916</v>
      </c>
      <c r="C4975" s="19"/>
      <c r="D4975" s="19"/>
      <c r="E4975" s="22"/>
      <c r="F4975" s="22"/>
      <c r="G4975" s="22"/>
    </row>
    <row r="4976" spans="1:7" x14ac:dyDescent="0.15">
      <c r="A4976" s="19" t="s">
        <v>12867</v>
      </c>
      <c r="B4976" s="19" t="s">
        <v>12917</v>
      </c>
      <c r="C4976" s="19"/>
      <c r="D4976" s="19"/>
      <c r="E4976" s="22"/>
      <c r="F4976" s="22"/>
      <c r="G4976" s="22"/>
    </row>
    <row r="4977" spans="1:7" x14ac:dyDescent="0.15">
      <c r="A4977" s="19" t="s">
        <v>12867</v>
      </c>
      <c r="B4977" s="19" t="s">
        <v>12918</v>
      </c>
      <c r="C4977" s="19"/>
      <c r="D4977" s="19"/>
      <c r="E4977" s="22"/>
      <c r="F4977" s="22"/>
      <c r="G4977" s="22"/>
    </row>
    <row r="4978" spans="1:7" x14ac:dyDescent="0.15">
      <c r="A4978" s="19" t="s">
        <v>12867</v>
      </c>
      <c r="B4978" s="19" t="s">
        <v>12919</v>
      </c>
      <c r="C4978" s="19"/>
      <c r="D4978" s="19"/>
      <c r="E4978" s="22"/>
      <c r="F4978" s="22"/>
      <c r="G4978" s="22"/>
    </row>
    <row r="4979" spans="1:7" x14ac:dyDescent="0.15">
      <c r="A4979" s="19" t="s">
        <v>12867</v>
      </c>
      <c r="B4979" s="19" t="s">
        <v>12920</v>
      </c>
      <c r="C4979" s="19"/>
      <c r="D4979" s="19"/>
      <c r="E4979" s="22"/>
      <c r="F4979" s="22"/>
      <c r="G4979" s="22"/>
    </row>
    <row r="4980" spans="1:7" x14ac:dyDescent="0.15">
      <c r="A4980" s="19" t="s">
        <v>12867</v>
      </c>
      <c r="B4980" s="19" t="s">
        <v>12921</v>
      </c>
      <c r="C4980" s="19"/>
      <c r="D4980" s="19"/>
      <c r="E4980" s="22"/>
      <c r="F4980" s="22"/>
      <c r="G4980" s="22"/>
    </row>
    <row r="4981" spans="1:7" x14ac:dyDescent="0.15">
      <c r="A4981" s="19" t="s">
        <v>12867</v>
      </c>
      <c r="B4981" s="19" t="s">
        <v>12922</v>
      </c>
      <c r="C4981" s="19"/>
      <c r="D4981" s="19"/>
      <c r="E4981" s="22"/>
      <c r="F4981" s="22"/>
      <c r="G4981" s="22"/>
    </row>
    <row r="4982" spans="1:7" x14ac:dyDescent="0.15">
      <c r="A4982" s="19" t="s">
        <v>12867</v>
      </c>
      <c r="B4982" s="19" t="s">
        <v>12923</v>
      </c>
      <c r="C4982" s="19"/>
      <c r="D4982" s="19"/>
      <c r="E4982" s="22"/>
      <c r="F4982" s="22"/>
      <c r="G4982" s="22"/>
    </row>
    <row r="4983" spans="1:7" x14ac:dyDescent="0.15">
      <c r="A4983" s="19" t="s">
        <v>12867</v>
      </c>
      <c r="B4983" s="19" t="s">
        <v>12924</v>
      </c>
      <c r="C4983" s="19"/>
      <c r="D4983" s="19"/>
      <c r="E4983" s="22"/>
      <c r="F4983" s="22"/>
      <c r="G4983" s="22"/>
    </row>
    <row r="4984" spans="1:7" x14ac:dyDescent="0.15">
      <c r="A4984" s="19" t="s">
        <v>12867</v>
      </c>
      <c r="B4984" s="19" t="s">
        <v>12925</v>
      </c>
      <c r="C4984" s="19"/>
      <c r="D4984" s="19"/>
      <c r="E4984" s="22"/>
      <c r="F4984" s="22"/>
      <c r="G4984" s="22"/>
    </row>
    <row r="4985" spans="1:7" x14ac:dyDescent="0.15">
      <c r="A4985" s="19" t="s">
        <v>12867</v>
      </c>
      <c r="B4985" s="19" t="s">
        <v>12926</v>
      </c>
      <c r="C4985" s="19"/>
      <c r="D4985" s="19"/>
      <c r="E4985" s="22"/>
      <c r="F4985" s="22"/>
      <c r="G4985" s="22"/>
    </row>
    <row r="4986" spans="1:7" x14ac:dyDescent="0.15">
      <c r="A4986" s="19" t="s">
        <v>12867</v>
      </c>
      <c r="B4986" s="19" t="s">
        <v>12927</v>
      </c>
      <c r="C4986" s="19"/>
      <c r="D4986" s="19"/>
      <c r="E4986" s="22"/>
      <c r="F4986" s="22"/>
      <c r="G4986" s="22"/>
    </row>
    <row r="4987" spans="1:7" x14ac:dyDescent="0.15">
      <c r="A4987" s="19" t="s">
        <v>12867</v>
      </c>
      <c r="B4987" s="19" t="s">
        <v>12928</v>
      </c>
      <c r="C4987" s="19"/>
      <c r="D4987" s="19"/>
      <c r="E4987" s="22"/>
      <c r="F4987" s="22"/>
      <c r="G4987" s="22"/>
    </row>
    <row r="4988" spans="1:7" x14ac:dyDescent="0.15">
      <c r="A4988" s="19" t="s">
        <v>12867</v>
      </c>
      <c r="B4988" s="19" t="s">
        <v>12929</v>
      </c>
      <c r="C4988" s="19"/>
      <c r="D4988" s="19"/>
      <c r="E4988" s="22"/>
      <c r="F4988" s="22"/>
      <c r="G4988" s="22"/>
    </row>
    <row r="4989" spans="1:7" x14ac:dyDescent="0.15">
      <c r="A4989" s="19" t="s">
        <v>12867</v>
      </c>
      <c r="B4989" s="19" t="s">
        <v>12930</v>
      </c>
      <c r="C4989" s="19"/>
      <c r="D4989" s="19"/>
      <c r="E4989" s="22"/>
      <c r="F4989" s="22"/>
      <c r="G4989" s="22"/>
    </row>
    <row r="4990" spans="1:7" x14ac:dyDescent="0.15">
      <c r="A4990" s="19" t="s">
        <v>12867</v>
      </c>
      <c r="B4990" s="19" t="s">
        <v>12931</v>
      </c>
      <c r="C4990" s="19"/>
      <c r="D4990" s="19"/>
      <c r="E4990" s="22"/>
      <c r="F4990" s="22"/>
      <c r="G4990" s="22"/>
    </row>
    <row r="4991" spans="1:7" x14ac:dyDescent="0.15">
      <c r="A4991" s="19" t="s">
        <v>12867</v>
      </c>
      <c r="B4991" s="19" t="s">
        <v>12932</v>
      </c>
      <c r="C4991" s="19"/>
      <c r="D4991" s="19"/>
      <c r="E4991" s="22"/>
      <c r="F4991" s="22"/>
      <c r="G4991" s="22"/>
    </row>
    <row r="4992" spans="1:7" x14ac:dyDescent="0.15">
      <c r="A4992" s="19" t="s">
        <v>12867</v>
      </c>
      <c r="B4992" s="19" t="s">
        <v>12933</v>
      </c>
      <c r="C4992" s="19"/>
      <c r="D4992" s="19"/>
      <c r="E4992" s="22"/>
      <c r="F4992" s="22"/>
      <c r="G4992" s="22"/>
    </row>
    <row r="4993" spans="1:7" x14ac:dyDescent="0.15">
      <c r="A4993" s="19" t="s">
        <v>12867</v>
      </c>
      <c r="B4993" s="19" t="s">
        <v>12934</v>
      </c>
      <c r="C4993" s="19"/>
      <c r="D4993" s="19"/>
      <c r="E4993" s="22"/>
      <c r="F4993" s="22"/>
      <c r="G4993" s="22"/>
    </row>
    <row r="4994" spans="1:7" x14ac:dyDescent="0.15">
      <c r="A4994" s="19" t="s">
        <v>12867</v>
      </c>
      <c r="B4994" s="19" t="s">
        <v>12935</v>
      </c>
      <c r="C4994" s="19"/>
      <c r="D4994" s="19"/>
      <c r="E4994" s="22"/>
      <c r="F4994" s="22"/>
      <c r="G4994" s="22"/>
    </row>
    <row r="4995" spans="1:7" x14ac:dyDescent="0.15">
      <c r="A4995" s="19" t="s">
        <v>12867</v>
      </c>
      <c r="B4995" s="19" t="s">
        <v>12936</v>
      </c>
      <c r="C4995" s="19"/>
      <c r="D4995" s="19"/>
      <c r="E4995" s="22"/>
      <c r="F4995" s="22"/>
      <c r="G4995" s="22"/>
    </row>
    <row r="4996" spans="1:7" x14ac:dyDescent="0.15">
      <c r="A4996" s="19" t="s">
        <v>12867</v>
      </c>
      <c r="B4996" s="19" t="s">
        <v>12937</v>
      </c>
      <c r="C4996" s="19"/>
      <c r="D4996" s="19"/>
      <c r="E4996" s="22"/>
      <c r="F4996" s="22"/>
      <c r="G4996" s="22"/>
    </row>
    <row r="4997" spans="1:7" x14ac:dyDescent="0.15">
      <c r="A4997" s="19" t="s">
        <v>12867</v>
      </c>
      <c r="B4997" s="19" t="s">
        <v>12938</v>
      </c>
      <c r="C4997" s="19"/>
      <c r="D4997" s="19"/>
      <c r="E4997" s="22"/>
      <c r="F4997" s="22"/>
      <c r="G4997" s="22"/>
    </row>
    <row r="4998" spans="1:7" x14ac:dyDescent="0.15">
      <c r="A4998" s="19" t="s">
        <v>12867</v>
      </c>
      <c r="B4998" s="19" t="s">
        <v>12939</v>
      </c>
      <c r="C4998" s="19"/>
      <c r="D4998" s="19"/>
      <c r="E4998" s="22"/>
      <c r="F4998" s="22"/>
      <c r="G4998" s="22"/>
    </row>
    <row r="4999" spans="1:7" x14ac:dyDescent="0.15">
      <c r="A4999" s="19" t="s">
        <v>12867</v>
      </c>
      <c r="B4999" s="19" t="s">
        <v>12940</v>
      </c>
      <c r="C4999" s="19"/>
      <c r="D4999" s="19"/>
      <c r="E4999" s="22"/>
      <c r="F4999" s="22"/>
      <c r="G4999" s="22"/>
    </row>
    <row r="5000" spans="1:7" x14ac:dyDescent="0.15">
      <c r="A5000" s="19" t="s">
        <v>12867</v>
      </c>
      <c r="B5000" s="19" t="s">
        <v>12941</v>
      </c>
      <c r="C5000" s="19"/>
      <c r="D5000" s="19"/>
      <c r="E5000" s="22"/>
      <c r="F5000" s="22"/>
      <c r="G5000" s="22"/>
    </row>
    <row r="5001" spans="1:7" x14ac:dyDescent="0.15">
      <c r="A5001" s="19" t="s">
        <v>12867</v>
      </c>
      <c r="B5001" s="19" t="s">
        <v>12942</v>
      </c>
      <c r="C5001" s="19"/>
      <c r="D5001" s="19"/>
      <c r="E5001" s="22"/>
      <c r="F5001" s="22"/>
      <c r="G5001" s="22"/>
    </row>
    <row r="5002" spans="1:7" x14ac:dyDescent="0.15">
      <c r="A5002" s="19" t="s">
        <v>12867</v>
      </c>
      <c r="B5002" s="19" t="s">
        <v>12943</v>
      </c>
      <c r="C5002" s="19"/>
      <c r="D5002" s="19"/>
      <c r="E5002" s="22"/>
      <c r="F5002" s="22"/>
      <c r="G5002" s="22"/>
    </row>
    <row r="5003" spans="1:7" x14ac:dyDescent="0.15">
      <c r="A5003" s="19" t="s">
        <v>12867</v>
      </c>
      <c r="B5003" s="19" t="s">
        <v>12944</v>
      </c>
      <c r="C5003" s="19"/>
      <c r="D5003" s="19"/>
      <c r="E5003" s="22"/>
      <c r="F5003" s="22"/>
      <c r="G5003" s="22"/>
    </row>
    <row r="5004" spans="1:7" x14ac:dyDescent="0.15">
      <c r="A5004" s="19" t="s">
        <v>12867</v>
      </c>
      <c r="B5004" s="19" t="s">
        <v>12945</v>
      </c>
      <c r="C5004" s="19"/>
      <c r="D5004" s="19"/>
      <c r="E5004" s="22"/>
      <c r="F5004" s="22"/>
      <c r="G5004" s="22"/>
    </row>
    <row r="5005" spans="1:7" x14ac:dyDescent="0.15">
      <c r="A5005" s="19" t="s">
        <v>12867</v>
      </c>
      <c r="B5005" s="19" t="s">
        <v>12946</v>
      </c>
      <c r="C5005" s="19"/>
      <c r="D5005" s="19"/>
      <c r="E5005" s="22"/>
      <c r="F5005" s="22"/>
      <c r="G5005" s="22"/>
    </row>
    <row r="5006" spans="1:7" x14ac:dyDescent="0.15">
      <c r="A5006" s="19" t="s">
        <v>12867</v>
      </c>
      <c r="B5006" s="19" t="s">
        <v>12947</v>
      </c>
      <c r="C5006" s="19"/>
      <c r="D5006" s="19"/>
      <c r="E5006" s="22"/>
      <c r="F5006" s="22"/>
      <c r="G5006" s="22"/>
    </row>
    <row r="5007" spans="1:7" x14ac:dyDescent="0.15">
      <c r="A5007" s="19" t="s">
        <v>12867</v>
      </c>
      <c r="B5007" s="19" t="s">
        <v>12948</v>
      </c>
      <c r="C5007" s="19"/>
      <c r="D5007" s="19"/>
      <c r="E5007" s="22"/>
      <c r="F5007" s="22"/>
      <c r="G5007" s="22"/>
    </row>
    <row r="5008" spans="1:7" x14ac:dyDescent="0.15">
      <c r="A5008" s="19" t="s">
        <v>12867</v>
      </c>
      <c r="B5008" s="19" t="s">
        <v>12949</v>
      </c>
      <c r="C5008" s="19"/>
      <c r="D5008" s="19"/>
      <c r="E5008" s="22"/>
      <c r="F5008" s="22"/>
      <c r="G5008" s="22"/>
    </row>
    <row r="5009" spans="1:7" x14ac:dyDescent="0.15">
      <c r="A5009" s="19" t="s">
        <v>12867</v>
      </c>
      <c r="B5009" s="19" t="s">
        <v>12950</v>
      </c>
      <c r="C5009" s="19"/>
      <c r="D5009" s="19"/>
      <c r="E5009" s="22"/>
      <c r="F5009" s="22"/>
      <c r="G5009" s="22"/>
    </row>
    <row r="5010" spans="1:7" x14ac:dyDescent="0.15">
      <c r="A5010" s="19" t="s">
        <v>12867</v>
      </c>
      <c r="B5010" s="19" t="s">
        <v>12951</v>
      </c>
      <c r="C5010" s="19"/>
      <c r="D5010" s="19"/>
      <c r="E5010" s="22"/>
      <c r="F5010" s="22"/>
      <c r="G5010" s="22"/>
    </row>
    <row r="5011" spans="1:7" x14ac:dyDescent="0.15">
      <c r="A5011" s="19" t="s">
        <v>12867</v>
      </c>
      <c r="B5011" s="19" t="s">
        <v>12952</v>
      </c>
      <c r="C5011" s="19"/>
      <c r="D5011" s="19"/>
      <c r="E5011" s="22"/>
      <c r="F5011" s="22"/>
      <c r="G5011" s="22"/>
    </row>
    <row r="5012" spans="1:7" x14ac:dyDescent="0.15">
      <c r="A5012" s="19" t="s">
        <v>12867</v>
      </c>
      <c r="B5012" s="19" t="s">
        <v>12953</v>
      </c>
      <c r="C5012" s="19"/>
      <c r="D5012" s="19"/>
      <c r="E5012" s="22"/>
      <c r="F5012" s="22"/>
      <c r="G5012" s="22"/>
    </row>
    <row r="5013" spans="1:7" x14ac:dyDescent="0.15">
      <c r="A5013" s="19" t="s">
        <v>12867</v>
      </c>
      <c r="B5013" s="19" t="s">
        <v>12954</v>
      </c>
      <c r="C5013" s="19"/>
      <c r="D5013" s="19"/>
      <c r="E5013" s="22"/>
      <c r="F5013" s="22"/>
      <c r="G5013" s="22"/>
    </row>
    <row r="5014" spans="1:7" x14ac:dyDescent="0.15">
      <c r="A5014" s="19" t="s">
        <v>12867</v>
      </c>
      <c r="B5014" s="19" t="s">
        <v>12955</v>
      </c>
      <c r="C5014" s="19"/>
      <c r="D5014" s="19"/>
      <c r="E5014" s="22"/>
      <c r="F5014" s="22"/>
      <c r="G5014" s="22"/>
    </row>
    <row r="5015" spans="1:7" x14ac:dyDescent="0.15">
      <c r="A5015" s="19" t="s">
        <v>12867</v>
      </c>
      <c r="B5015" s="19" t="s">
        <v>12956</v>
      </c>
      <c r="C5015" s="19"/>
      <c r="D5015" s="19"/>
      <c r="E5015" s="22"/>
      <c r="F5015" s="22"/>
      <c r="G5015" s="22"/>
    </row>
    <row r="5016" spans="1:7" x14ac:dyDescent="0.15">
      <c r="A5016" s="19" t="s">
        <v>12867</v>
      </c>
      <c r="B5016" s="19" t="s">
        <v>12957</v>
      </c>
      <c r="C5016" s="19"/>
      <c r="D5016" s="19"/>
      <c r="E5016" s="22"/>
      <c r="F5016" s="22"/>
      <c r="G5016" s="22"/>
    </row>
    <row r="5017" spans="1:7" x14ac:dyDescent="0.15">
      <c r="A5017" s="19" t="s">
        <v>12867</v>
      </c>
      <c r="B5017" s="19" t="s">
        <v>12958</v>
      </c>
      <c r="C5017" s="19"/>
      <c r="D5017" s="19"/>
      <c r="E5017" s="22"/>
      <c r="F5017" s="22"/>
      <c r="G5017" s="22"/>
    </row>
    <row r="5018" spans="1:7" x14ac:dyDescent="0.15">
      <c r="A5018" s="19" t="s">
        <v>12867</v>
      </c>
      <c r="B5018" s="19" t="s">
        <v>12959</v>
      </c>
      <c r="C5018" s="19"/>
      <c r="D5018" s="19"/>
      <c r="E5018" s="22"/>
      <c r="F5018" s="22"/>
      <c r="G5018" s="22"/>
    </row>
    <row r="5019" spans="1:7" x14ac:dyDescent="0.15">
      <c r="A5019" s="19" t="s">
        <v>12867</v>
      </c>
      <c r="B5019" s="19" t="s">
        <v>12960</v>
      </c>
      <c r="C5019" s="19"/>
      <c r="D5019" s="19"/>
      <c r="E5019" s="22"/>
      <c r="F5019" s="22"/>
      <c r="G5019" s="22"/>
    </row>
    <row r="5020" spans="1:7" x14ac:dyDescent="0.15">
      <c r="A5020" s="19" t="s">
        <v>12867</v>
      </c>
      <c r="B5020" s="19" t="s">
        <v>12961</v>
      </c>
      <c r="C5020" s="19"/>
      <c r="D5020" s="19"/>
      <c r="E5020" s="22"/>
      <c r="F5020" s="22"/>
      <c r="G5020" s="22"/>
    </row>
    <row r="5021" spans="1:7" x14ac:dyDescent="0.15">
      <c r="A5021" s="19" t="s">
        <v>12867</v>
      </c>
      <c r="B5021" s="19" t="s">
        <v>12962</v>
      </c>
      <c r="C5021" s="19"/>
      <c r="D5021" s="19"/>
      <c r="E5021" s="22"/>
      <c r="F5021" s="22"/>
      <c r="G5021" s="22"/>
    </row>
    <row r="5022" spans="1:7" x14ac:dyDescent="0.15">
      <c r="A5022" s="19" t="s">
        <v>12867</v>
      </c>
      <c r="B5022" s="19" t="s">
        <v>12963</v>
      </c>
      <c r="C5022" s="19"/>
      <c r="D5022" s="19"/>
      <c r="E5022" s="22"/>
      <c r="F5022" s="22"/>
      <c r="G5022" s="22"/>
    </row>
    <row r="5023" spans="1:7" x14ac:dyDescent="0.15">
      <c r="A5023" s="19" t="s">
        <v>12867</v>
      </c>
      <c r="B5023" s="19" t="s">
        <v>12964</v>
      </c>
      <c r="C5023" s="19"/>
      <c r="D5023" s="19"/>
      <c r="E5023" s="22"/>
      <c r="F5023" s="22"/>
      <c r="G5023" s="22"/>
    </row>
    <row r="5024" spans="1:7" x14ac:dyDescent="0.15">
      <c r="A5024" s="19" t="s">
        <v>12867</v>
      </c>
      <c r="B5024" s="19" t="s">
        <v>12965</v>
      </c>
      <c r="C5024" s="19"/>
      <c r="D5024" s="19"/>
      <c r="E5024" s="22"/>
      <c r="F5024" s="22"/>
      <c r="G5024" s="22"/>
    </row>
    <row r="5025" spans="1:7" x14ac:dyDescent="0.15">
      <c r="A5025" s="19" t="s">
        <v>12867</v>
      </c>
      <c r="B5025" s="19" t="s">
        <v>12966</v>
      </c>
      <c r="C5025" s="19"/>
      <c r="D5025" s="19"/>
      <c r="E5025" s="22"/>
      <c r="F5025" s="22"/>
      <c r="G5025" s="22"/>
    </row>
    <row r="5026" spans="1:7" x14ac:dyDescent="0.15">
      <c r="A5026" s="19" t="s">
        <v>12867</v>
      </c>
      <c r="B5026" s="19" t="s">
        <v>12967</v>
      </c>
      <c r="C5026" s="19"/>
      <c r="D5026" s="19"/>
      <c r="E5026" s="22"/>
      <c r="F5026" s="22"/>
      <c r="G5026" s="22"/>
    </row>
    <row r="5027" spans="1:7" x14ac:dyDescent="0.15">
      <c r="A5027" s="19" t="s">
        <v>12867</v>
      </c>
      <c r="B5027" s="19" t="s">
        <v>12968</v>
      </c>
      <c r="C5027" s="19"/>
      <c r="D5027" s="19"/>
      <c r="E5027" s="22"/>
      <c r="F5027" s="22"/>
      <c r="G5027" s="22"/>
    </row>
    <row r="5028" spans="1:7" x14ac:dyDescent="0.15">
      <c r="A5028" s="19" t="s">
        <v>12867</v>
      </c>
      <c r="B5028" s="19" t="s">
        <v>12969</v>
      </c>
      <c r="C5028" s="19"/>
      <c r="D5028" s="19"/>
      <c r="E5028" s="22"/>
      <c r="F5028" s="22"/>
      <c r="G5028" s="22"/>
    </row>
    <row r="5029" spans="1:7" x14ac:dyDescent="0.15">
      <c r="A5029" s="19" t="s">
        <v>12867</v>
      </c>
      <c r="B5029" s="19" t="s">
        <v>12970</v>
      </c>
      <c r="C5029" s="19"/>
      <c r="D5029" s="19"/>
      <c r="E5029" s="22"/>
      <c r="F5029" s="22"/>
      <c r="G5029" s="22"/>
    </row>
    <row r="5030" spans="1:7" x14ac:dyDescent="0.15">
      <c r="A5030" s="19" t="s">
        <v>12867</v>
      </c>
      <c r="B5030" s="19" t="s">
        <v>12971</v>
      </c>
      <c r="C5030" s="19"/>
      <c r="D5030" s="19"/>
      <c r="E5030" s="22"/>
      <c r="F5030" s="22"/>
      <c r="G5030" s="22"/>
    </row>
    <row r="5031" spans="1:7" x14ac:dyDescent="0.15">
      <c r="A5031" s="19" t="s">
        <v>12867</v>
      </c>
      <c r="B5031" s="19" t="s">
        <v>12972</v>
      </c>
      <c r="C5031" s="19"/>
      <c r="D5031" s="19"/>
      <c r="E5031" s="22"/>
      <c r="F5031" s="22"/>
      <c r="G5031" s="22"/>
    </row>
    <row r="5032" spans="1:7" x14ac:dyDescent="0.15">
      <c r="A5032" s="19" t="s">
        <v>12867</v>
      </c>
      <c r="B5032" s="19" t="s">
        <v>12973</v>
      </c>
      <c r="C5032" s="19"/>
      <c r="D5032" s="19"/>
      <c r="E5032" s="22"/>
      <c r="F5032" s="22"/>
      <c r="G5032" s="22"/>
    </row>
    <row r="5033" spans="1:7" x14ac:dyDescent="0.15">
      <c r="A5033" s="19" t="s">
        <v>12867</v>
      </c>
      <c r="B5033" s="19" t="s">
        <v>12974</v>
      </c>
      <c r="C5033" s="19"/>
      <c r="D5033" s="19"/>
      <c r="E5033" s="22"/>
      <c r="F5033" s="22"/>
      <c r="G5033" s="22"/>
    </row>
    <row r="5034" spans="1:7" x14ac:dyDescent="0.15">
      <c r="A5034" s="19" t="s">
        <v>12867</v>
      </c>
      <c r="B5034" s="19" t="s">
        <v>12975</v>
      </c>
      <c r="C5034" s="19"/>
      <c r="D5034" s="19"/>
      <c r="E5034" s="22"/>
      <c r="F5034" s="22"/>
      <c r="G5034" s="22"/>
    </row>
    <row r="5035" spans="1:7" x14ac:dyDescent="0.15">
      <c r="A5035" s="19" t="s">
        <v>12867</v>
      </c>
      <c r="B5035" s="19" t="s">
        <v>12976</v>
      </c>
      <c r="C5035" s="19"/>
      <c r="D5035" s="19"/>
      <c r="E5035" s="22"/>
      <c r="F5035" s="22"/>
      <c r="G5035" s="22"/>
    </row>
    <row r="5036" spans="1:7" x14ac:dyDescent="0.15">
      <c r="A5036" s="19" t="s">
        <v>12867</v>
      </c>
      <c r="B5036" s="19" t="s">
        <v>12977</v>
      </c>
      <c r="C5036" s="19"/>
      <c r="D5036" s="19"/>
      <c r="E5036" s="22"/>
      <c r="F5036" s="22"/>
      <c r="G5036" s="22"/>
    </row>
    <row r="5037" spans="1:7" x14ac:dyDescent="0.15">
      <c r="A5037" s="19" t="s">
        <v>12867</v>
      </c>
      <c r="B5037" s="19" t="s">
        <v>12978</v>
      </c>
      <c r="C5037" s="19"/>
      <c r="D5037" s="19"/>
      <c r="E5037" s="22"/>
      <c r="F5037" s="22"/>
      <c r="G5037" s="22"/>
    </row>
    <row r="5038" spans="1:7" x14ac:dyDescent="0.15">
      <c r="A5038" s="19" t="s">
        <v>12867</v>
      </c>
      <c r="B5038" s="19" t="s">
        <v>12979</v>
      </c>
      <c r="C5038" s="19"/>
      <c r="D5038" s="19"/>
      <c r="E5038" s="22"/>
      <c r="F5038" s="22"/>
      <c r="G5038" s="22"/>
    </row>
    <row r="5039" spans="1:7" x14ac:dyDescent="0.15">
      <c r="A5039" s="19" t="s">
        <v>12867</v>
      </c>
      <c r="B5039" s="19" t="s">
        <v>12980</v>
      </c>
      <c r="C5039" s="19"/>
      <c r="D5039" s="19"/>
      <c r="E5039" s="22"/>
      <c r="F5039" s="22"/>
      <c r="G5039" s="22"/>
    </row>
    <row r="5040" spans="1:7" x14ac:dyDescent="0.15">
      <c r="A5040" s="19" t="s">
        <v>12867</v>
      </c>
      <c r="B5040" s="19" t="s">
        <v>12981</v>
      </c>
      <c r="C5040" s="19"/>
      <c r="D5040" s="19"/>
      <c r="E5040" s="22"/>
      <c r="F5040" s="22"/>
      <c r="G5040" s="22"/>
    </row>
    <row r="5041" spans="1:7" x14ac:dyDescent="0.15">
      <c r="A5041" s="19" t="s">
        <v>12867</v>
      </c>
      <c r="B5041" s="19" t="s">
        <v>12982</v>
      </c>
      <c r="C5041" s="19"/>
      <c r="D5041" s="19"/>
      <c r="E5041" s="22"/>
      <c r="F5041" s="22"/>
      <c r="G5041" s="22"/>
    </row>
    <row r="5042" spans="1:7" x14ac:dyDescent="0.15">
      <c r="A5042" s="19" t="s">
        <v>12867</v>
      </c>
      <c r="B5042" s="19" t="s">
        <v>12983</v>
      </c>
      <c r="C5042" s="19"/>
      <c r="D5042" s="19"/>
      <c r="E5042" s="22"/>
      <c r="F5042" s="22"/>
      <c r="G5042" s="22"/>
    </row>
    <row r="5043" spans="1:7" x14ac:dyDescent="0.15">
      <c r="A5043" s="19" t="s">
        <v>12867</v>
      </c>
      <c r="B5043" s="19" t="s">
        <v>12984</v>
      </c>
      <c r="C5043" s="19"/>
      <c r="D5043" s="19"/>
      <c r="E5043" s="22"/>
      <c r="F5043" s="22"/>
      <c r="G5043" s="22"/>
    </row>
    <row r="5044" spans="1:7" x14ac:dyDescent="0.15">
      <c r="A5044" s="19" t="s">
        <v>12867</v>
      </c>
      <c r="B5044" s="19" t="s">
        <v>12985</v>
      </c>
      <c r="C5044" s="19"/>
      <c r="D5044" s="19"/>
      <c r="E5044" s="22"/>
      <c r="F5044" s="22"/>
      <c r="G5044" s="22"/>
    </row>
    <row r="5045" spans="1:7" x14ac:dyDescent="0.15">
      <c r="A5045" s="19" t="s">
        <v>12867</v>
      </c>
      <c r="B5045" s="19" t="s">
        <v>12986</v>
      </c>
      <c r="C5045" s="19"/>
      <c r="D5045" s="19"/>
      <c r="E5045" s="22"/>
      <c r="F5045" s="22"/>
      <c r="G5045" s="22"/>
    </row>
    <row r="5046" spans="1:7" x14ac:dyDescent="0.15">
      <c r="A5046" s="19" t="s">
        <v>12867</v>
      </c>
      <c r="B5046" s="19" t="s">
        <v>12987</v>
      </c>
      <c r="C5046" s="19"/>
      <c r="D5046" s="19"/>
      <c r="E5046" s="22"/>
      <c r="F5046" s="22"/>
      <c r="G5046" s="22"/>
    </row>
    <row r="5047" spans="1:7" x14ac:dyDescent="0.15">
      <c r="A5047" s="19" t="s">
        <v>12867</v>
      </c>
      <c r="B5047" s="19" t="s">
        <v>12988</v>
      </c>
      <c r="C5047" s="19"/>
      <c r="D5047" s="19"/>
      <c r="E5047" s="22"/>
      <c r="F5047" s="22"/>
      <c r="G5047" s="22"/>
    </row>
    <row r="5048" spans="1:7" x14ac:dyDescent="0.15">
      <c r="A5048" s="19" t="s">
        <v>12867</v>
      </c>
      <c r="B5048" s="19" t="s">
        <v>12989</v>
      </c>
      <c r="C5048" s="19"/>
      <c r="D5048" s="19"/>
      <c r="E5048" s="22"/>
      <c r="F5048" s="22"/>
      <c r="G5048" s="22"/>
    </row>
    <row r="5049" spans="1:7" x14ac:dyDescent="0.15">
      <c r="A5049" s="19" t="s">
        <v>12867</v>
      </c>
      <c r="B5049" s="19" t="s">
        <v>12990</v>
      </c>
      <c r="C5049" s="19"/>
      <c r="D5049" s="19"/>
      <c r="E5049" s="22"/>
      <c r="F5049" s="22"/>
      <c r="G5049" s="22"/>
    </row>
    <row r="5050" spans="1:7" x14ac:dyDescent="0.15">
      <c r="A5050" s="19" t="s">
        <v>12867</v>
      </c>
      <c r="B5050" s="19" t="s">
        <v>12991</v>
      </c>
      <c r="C5050" s="19"/>
      <c r="D5050" s="19"/>
      <c r="E5050" s="22"/>
      <c r="F5050" s="22"/>
      <c r="G5050" s="22"/>
    </row>
    <row r="5051" spans="1:7" x14ac:dyDescent="0.15">
      <c r="A5051" s="19" t="s">
        <v>12867</v>
      </c>
      <c r="B5051" s="19" t="s">
        <v>12992</v>
      </c>
      <c r="C5051" s="19"/>
      <c r="D5051" s="19"/>
      <c r="E5051" s="22"/>
      <c r="F5051" s="22"/>
      <c r="G5051" s="22"/>
    </row>
    <row r="5052" spans="1:7" x14ac:dyDescent="0.15">
      <c r="A5052" s="19" t="s">
        <v>12867</v>
      </c>
      <c r="B5052" s="19" t="s">
        <v>12993</v>
      </c>
      <c r="C5052" s="19"/>
      <c r="D5052" s="19"/>
      <c r="E5052" s="22"/>
      <c r="F5052" s="22"/>
      <c r="G5052" s="22"/>
    </row>
    <row r="5053" spans="1:7" x14ac:dyDescent="0.15">
      <c r="A5053" s="19" t="s">
        <v>12867</v>
      </c>
      <c r="B5053" s="19" t="s">
        <v>12994</v>
      </c>
      <c r="C5053" s="19"/>
      <c r="D5053" s="19"/>
      <c r="E5053" s="22"/>
      <c r="F5053" s="22"/>
      <c r="G5053" s="22"/>
    </row>
    <row r="5054" spans="1:7" x14ac:dyDescent="0.15">
      <c r="A5054" s="19" t="s">
        <v>12867</v>
      </c>
      <c r="B5054" s="19" t="s">
        <v>12995</v>
      </c>
      <c r="C5054" s="19"/>
      <c r="D5054" s="19"/>
      <c r="E5054" s="22"/>
      <c r="F5054" s="22"/>
      <c r="G5054" s="22"/>
    </row>
    <row r="5055" spans="1:7" x14ac:dyDescent="0.15">
      <c r="A5055" s="19" t="s">
        <v>12867</v>
      </c>
      <c r="B5055" s="19" t="s">
        <v>12996</v>
      </c>
      <c r="C5055" s="19"/>
      <c r="D5055" s="19"/>
      <c r="E5055" s="22"/>
      <c r="F5055" s="22"/>
      <c r="G5055" s="22"/>
    </row>
    <row r="5056" spans="1:7" x14ac:dyDescent="0.15">
      <c r="A5056" s="19" t="s">
        <v>12867</v>
      </c>
      <c r="B5056" s="19" t="s">
        <v>12997</v>
      </c>
      <c r="C5056" s="19"/>
      <c r="D5056" s="19"/>
      <c r="E5056" s="22"/>
      <c r="F5056" s="22"/>
      <c r="G5056" s="22"/>
    </row>
    <row r="5057" spans="1:7" x14ac:dyDescent="0.15">
      <c r="A5057" s="19" t="s">
        <v>12867</v>
      </c>
      <c r="B5057" s="19" t="s">
        <v>12998</v>
      </c>
      <c r="C5057" s="19"/>
      <c r="D5057" s="19"/>
      <c r="E5057" s="22"/>
      <c r="F5057" s="22"/>
      <c r="G5057" s="22"/>
    </row>
    <row r="5058" spans="1:7" x14ac:dyDescent="0.15">
      <c r="A5058" s="19" t="s">
        <v>12867</v>
      </c>
      <c r="B5058" s="19" t="s">
        <v>12999</v>
      </c>
      <c r="C5058" s="19"/>
      <c r="D5058" s="19"/>
      <c r="E5058" s="22"/>
      <c r="F5058" s="22"/>
      <c r="G5058" s="22"/>
    </row>
    <row r="5059" spans="1:7" x14ac:dyDescent="0.15">
      <c r="A5059" s="19" t="s">
        <v>12867</v>
      </c>
      <c r="B5059" s="19" t="s">
        <v>13000</v>
      </c>
      <c r="C5059" s="19"/>
      <c r="D5059" s="19"/>
      <c r="E5059" s="22"/>
      <c r="F5059" s="22"/>
      <c r="G5059" s="22"/>
    </row>
    <row r="5060" spans="1:7" x14ac:dyDescent="0.15">
      <c r="A5060" s="19" t="s">
        <v>12867</v>
      </c>
      <c r="B5060" s="19" t="s">
        <v>13001</v>
      </c>
      <c r="C5060" s="19"/>
      <c r="D5060" s="19"/>
      <c r="E5060" s="22"/>
      <c r="F5060" s="22"/>
      <c r="G5060" s="22"/>
    </row>
    <row r="5061" spans="1:7" x14ac:dyDescent="0.15">
      <c r="A5061" s="19" t="s">
        <v>12867</v>
      </c>
      <c r="B5061" s="19" t="s">
        <v>13002</v>
      </c>
      <c r="C5061" s="19"/>
      <c r="D5061" s="19"/>
      <c r="E5061" s="22"/>
      <c r="F5061" s="22"/>
      <c r="G5061" s="22"/>
    </row>
    <row r="5062" spans="1:7" x14ac:dyDescent="0.15">
      <c r="A5062" s="19" t="s">
        <v>12867</v>
      </c>
      <c r="B5062" s="19" t="s">
        <v>13003</v>
      </c>
      <c r="C5062" s="19"/>
      <c r="D5062" s="19"/>
      <c r="E5062" s="22"/>
      <c r="F5062" s="22"/>
      <c r="G5062" s="22"/>
    </row>
    <row r="5063" spans="1:7" x14ac:dyDescent="0.15">
      <c r="A5063" s="19" t="s">
        <v>12867</v>
      </c>
      <c r="B5063" s="19" t="s">
        <v>13004</v>
      </c>
      <c r="C5063" s="19"/>
      <c r="D5063" s="19"/>
      <c r="E5063" s="22"/>
      <c r="F5063" s="22"/>
      <c r="G5063" s="22"/>
    </row>
    <row r="5064" spans="1:7" x14ac:dyDescent="0.15">
      <c r="A5064" s="19" t="s">
        <v>12867</v>
      </c>
      <c r="B5064" s="19" t="s">
        <v>13005</v>
      </c>
      <c r="C5064" s="19"/>
      <c r="D5064" s="19"/>
      <c r="E5064" s="22"/>
      <c r="F5064" s="22"/>
      <c r="G5064" s="22"/>
    </row>
    <row r="5065" spans="1:7" x14ac:dyDescent="0.15">
      <c r="A5065" s="19" t="s">
        <v>12867</v>
      </c>
      <c r="B5065" s="19" t="s">
        <v>13006</v>
      </c>
      <c r="C5065" s="19"/>
      <c r="D5065" s="19"/>
      <c r="E5065" s="22"/>
      <c r="F5065" s="22"/>
      <c r="G5065" s="22"/>
    </row>
    <row r="5066" spans="1:7" x14ac:dyDescent="0.15">
      <c r="A5066" s="19" t="s">
        <v>12867</v>
      </c>
      <c r="B5066" s="19" t="s">
        <v>13007</v>
      </c>
      <c r="C5066" s="19"/>
      <c r="D5066" s="19"/>
      <c r="E5066" s="22"/>
      <c r="F5066" s="22"/>
      <c r="G5066" s="22"/>
    </row>
    <row r="5067" spans="1:7" x14ac:dyDescent="0.15">
      <c r="A5067" s="19" t="s">
        <v>12867</v>
      </c>
      <c r="B5067" s="19" t="s">
        <v>13008</v>
      </c>
      <c r="C5067" s="19"/>
      <c r="D5067" s="19"/>
      <c r="E5067" s="22"/>
      <c r="F5067" s="22"/>
      <c r="G5067" s="22"/>
    </row>
    <row r="5068" spans="1:7" x14ac:dyDescent="0.15">
      <c r="A5068" s="19" t="s">
        <v>12867</v>
      </c>
      <c r="B5068" s="19" t="s">
        <v>13009</v>
      </c>
      <c r="C5068" s="19"/>
      <c r="D5068" s="19"/>
      <c r="E5068" s="22"/>
      <c r="F5068" s="22"/>
      <c r="G5068" s="22"/>
    </row>
    <row r="5069" spans="1:7" x14ac:dyDescent="0.15">
      <c r="A5069" s="19" t="s">
        <v>12867</v>
      </c>
      <c r="B5069" s="19" t="s">
        <v>13010</v>
      </c>
      <c r="C5069" s="19"/>
      <c r="D5069" s="19"/>
      <c r="E5069" s="22"/>
      <c r="F5069" s="22"/>
      <c r="G5069" s="22"/>
    </row>
    <row r="5070" spans="1:7" x14ac:dyDescent="0.15">
      <c r="A5070" s="19" t="s">
        <v>12867</v>
      </c>
      <c r="B5070" s="19" t="s">
        <v>13011</v>
      </c>
      <c r="C5070" s="19"/>
      <c r="D5070" s="19"/>
      <c r="E5070" s="22"/>
      <c r="F5070" s="22"/>
      <c r="G5070" s="22"/>
    </row>
    <row r="5071" spans="1:7" x14ac:dyDescent="0.15">
      <c r="A5071" s="19" t="s">
        <v>12867</v>
      </c>
      <c r="B5071" s="19" t="s">
        <v>13012</v>
      </c>
      <c r="C5071" s="19"/>
      <c r="D5071" s="19"/>
      <c r="E5071" s="22"/>
      <c r="F5071" s="22"/>
      <c r="G5071" s="22"/>
    </row>
    <row r="5072" spans="1:7" x14ac:dyDescent="0.15">
      <c r="A5072" s="19" t="s">
        <v>12867</v>
      </c>
      <c r="B5072" s="19" t="s">
        <v>13013</v>
      </c>
      <c r="C5072" s="19"/>
      <c r="D5072" s="19"/>
      <c r="E5072" s="22"/>
      <c r="F5072" s="22"/>
      <c r="G5072" s="22"/>
    </row>
    <row r="5073" spans="1:7" x14ac:dyDescent="0.15">
      <c r="A5073" s="19" t="s">
        <v>12867</v>
      </c>
      <c r="B5073" s="19" t="s">
        <v>13014</v>
      </c>
      <c r="C5073" s="19"/>
      <c r="D5073" s="19"/>
      <c r="E5073" s="22"/>
      <c r="F5073" s="22"/>
      <c r="G5073" s="22"/>
    </row>
    <row r="5074" spans="1:7" x14ac:dyDescent="0.15">
      <c r="A5074" s="19" t="s">
        <v>12867</v>
      </c>
      <c r="B5074" s="19" t="s">
        <v>13015</v>
      </c>
      <c r="C5074" s="19"/>
      <c r="D5074" s="19"/>
      <c r="E5074" s="22"/>
      <c r="F5074" s="22"/>
      <c r="G5074" s="22"/>
    </row>
    <row r="5075" spans="1:7" x14ac:dyDescent="0.15">
      <c r="A5075" s="19" t="s">
        <v>12867</v>
      </c>
      <c r="B5075" s="19" t="s">
        <v>13016</v>
      </c>
      <c r="C5075" s="19"/>
      <c r="D5075" s="19"/>
      <c r="E5075" s="22"/>
      <c r="F5075" s="22"/>
      <c r="G5075" s="22"/>
    </row>
    <row r="5076" spans="1:7" x14ac:dyDescent="0.15">
      <c r="A5076" s="19" t="s">
        <v>12867</v>
      </c>
      <c r="B5076" s="19" t="s">
        <v>13017</v>
      </c>
      <c r="C5076" s="19"/>
      <c r="D5076" s="19"/>
      <c r="E5076" s="22"/>
      <c r="F5076" s="22"/>
      <c r="G5076" s="22"/>
    </row>
    <row r="5077" spans="1:7" x14ac:dyDescent="0.15">
      <c r="A5077" s="19" t="s">
        <v>12867</v>
      </c>
      <c r="B5077" s="19" t="s">
        <v>13018</v>
      </c>
      <c r="C5077" s="19"/>
      <c r="D5077" s="19"/>
      <c r="E5077" s="22"/>
      <c r="F5077" s="22"/>
      <c r="G5077" s="22"/>
    </row>
    <row r="5078" spans="1:7" x14ac:dyDescent="0.15">
      <c r="A5078" s="19" t="s">
        <v>12867</v>
      </c>
      <c r="B5078" s="19" t="s">
        <v>13019</v>
      </c>
      <c r="C5078" s="19"/>
      <c r="D5078" s="19"/>
      <c r="E5078" s="22"/>
      <c r="F5078" s="22"/>
      <c r="G5078" s="22"/>
    </row>
    <row r="5079" spans="1:7" x14ac:dyDescent="0.15">
      <c r="A5079" s="19" t="s">
        <v>12867</v>
      </c>
      <c r="B5079" s="19" t="s">
        <v>13020</v>
      </c>
      <c r="C5079" s="19"/>
      <c r="D5079" s="19"/>
      <c r="E5079" s="22"/>
      <c r="F5079" s="22"/>
      <c r="G5079" s="22"/>
    </row>
    <row r="5080" spans="1:7" x14ac:dyDescent="0.15">
      <c r="A5080" s="19" t="s">
        <v>12867</v>
      </c>
      <c r="B5080" s="19" t="s">
        <v>13021</v>
      </c>
      <c r="C5080" s="19"/>
      <c r="D5080" s="19"/>
      <c r="E5080" s="22"/>
      <c r="F5080" s="22"/>
      <c r="G5080" s="22"/>
    </row>
    <row r="5081" spans="1:7" x14ac:dyDescent="0.15">
      <c r="A5081" s="19" t="s">
        <v>12867</v>
      </c>
      <c r="B5081" s="19" t="s">
        <v>13022</v>
      </c>
      <c r="C5081" s="19"/>
      <c r="D5081" s="19"/>
      <c r="E5081" s="22"/>
      <c r="F5081" s="22"/>
      <c r="G5081" s="22"/>
    </row>
    <row r="5082" spans="1:7" x14ac:dyDescent="0.15">
      <c r="A5082" s="19" t="s">
        <v>12867</v>
      </c>
      <c r="B5082" s="19" t="s">
        <v>13023</v>
      </c>
      <c r="C5082" s="19"/>
      <c r="D5082" s="19"/>
      <c r="E5082" s="22"/>
      <c r="F5082" s="22"/>
      <c r="G5082" s="22"/>
    </row>
    <row r="5083" spans="1:7" x14ac:dyDescent="0.15">
      <c r="A5083" s="19" t="s">
        <v>12867</v>
      </c>
      <c r="B5083" s="19" t="s">
        <v>13024</v>
      </c>
      <c r="C5083" s="19"/>
      <c r="D5083" s="19"/>
      <c r="E5083" s="22"/>
      <c r="F5083" s="22"/>
      <c r="G5083" s="22"/>
    </row>
    <row r="5084" spans="1:7" x14ac:dyDescent="0.15">
      <c r="A5084" s="19" t="s">
        <v>12867</v>
      </c>
      <c r="B5084" s="19" t="s">
        <v>13025</v>
      </c>
      <c r="C5084" s="19"/>
      <c r="D5084" s="19"/>
      <c r="E5084" s="22"/>
      <c r="F5084" s="22"/>
      <c r="G5084" s="22"/>
    </row>
    <row r="5085" spans="1:7" x14ac:dyDescent="0.15">
      <c r="A5085" s="19" t="s">
        <v>12867</v>
      </c>
      <c r="B5085" s="19" t="s">
        <v>13026</v>
      </c>
      <c r="C5085" s="19"/>
      <c r="D5085" s="19"/>
      <c r="E5085" s="22"/>
      <c r="F5085" s="22"/>
      <c r="G5085" s="22"/>
    </row>
    <row r="5086" spans="1:7" x14ac:dyDescent="0.15">
      <c r="A5086" s="19" t="s">
        <v>12867</v>
      </c>
      <c r="B5086" s="19" t="s">
        <v>13027</v>
      </c>
      <c r="C5086" s="19"/>
      <c r="D5086" s="19"/>
      <c r="E5086" s="22"/>
      <c r="F5086" s="22"/>
      <c r="G5086" s="22"/>
    </row>
    <row r="5087" spans="1:7" x14ac:dyDescent="0.15">
      <c r="A5087" s="19" t="s">
        <v>12867</v>
      </c>
      <c r="B5087" s="19" t="s">
        <v>13028</v>
      </c>
      <c r="C5087" s="19"/>
      <c r="D5087" s="19"/>
      <c r="E5087" s="22"/>
      <c r="F5087" s="22"/>
      <c r="G5087" s="22"/>
    </row>
    <row r="5088" spans="1:7" x14ac:dyDescent="0.15">
      <c r="A5088" s="19" t="s">
        <v>12867</v>
      </c>
      <c r="B5088" s="19" t="s">
        <v>13029</v>
      </c>
      <c r="C5088" s="19"/>
      <c r="D5088" s="19"/>
      <c r="E5088" s="22"/>
      <c r="F5088" s="22"/>
      <c r="G5088" s="22"/>
    </row>
    <row r="5089" spans="1:7" x14ac:dyDescent="0.15">
      <c r="A5089" s="19" t="s">
        <v>12867</v>
      </c>
      <c r="B5089" s="19" t="s">
        <v>13030</v>
      </c>
      <c r="C5089" s="19"/>
      <c r="D5089" s="19"/>
      <c r="E5089" s="22"/>
      <c r="F5089" s="22"/>
      <c r="G5089" s="22"/>
    </row>
    <row r="5090" spans="1:7" x14ac:dyDescent="0.15">
      <c r="A5090" s="19" t="s">
        <v>12867</v>
      </c>
      <c r="B5090" s="19" t="s">
        <v>13031</v>
      </c>
      <c r="C5090" s="19"/>
      <c r="D5090" s="19"/>
      <c r="E5090" s="22"/>
      <c r="F5090" s="22"/>
      <c r="G5090" s="22"/>
    </row>
    <row r="5091" spans="1:7" x14ac:dyDescent="0.15">
      <c r="A5091" s="19" t="s">
        <v>12867</v>
      </c>
      <c r="B5091" s="19" t="s">
        <v>13032</v>
      </c>
      <c r="C5091" s="19"/>
      <c r="D5091" s="19"/>
      <c r="E5091" s="22"/>
      <c r="F5091" s="22"/>
      <c r="G5091" s="22"/>
    </row>
    <row r="5092" spans="1:7" x14ac:dyDescent="0.15">
      <c r="A5092" s="19" t="s">
        <v>12867</v>
      </c>
      <c r="B5092" s="19" t="s">
        <v>13033</v>
      </c>
      <c r="C5092" s="19"/>
      <c r="D5092" s="19"/>
      <c r="E5092" s="22"/>
      <c r="F5092" s="22"/>
      <c r="G5092" s="22"/>
    </row>
    <row r="5093" spans="1:7" x14ac:dyDescent="0.15">
      <c r="A5093" s="19" t="s">
        <v>12867</v>
      </c>
      <c r="B5093" s="19" t="s">
        <v>13034</v>
      </c>
      <c r="C5093" s="19"/>
      <c r="D5093" s="19"/>
      <c r="E5093" s="22"/>
      <c r="F5093" s="22"/>
      <c r="G5093" s="22"/>
    </row>
    <row r="5094" spans="1:7" x14ac:dyDescent="0.15">
      <c r="A5094" s="19" t="s">
        <v>12867</v>
      </c>
      <c r="B5094" s="19" t="s">
        <v>13035</v>
      </c>
      <c r="C5094" s="19"/>
      <c r="D5094" s="19"/>
      <c r="E5094" s="22"/>
      <c r="F5094" s="22"/>
      <c r="G5094" s="22"/>
    </row>
    <row r="5095" spans="1:7" x14ac:dyDescent="0.15">
      <c r="A5095" s="19" t="s">
        <v>12867</v>
      </c>
      <c r="B5095" s="19" t="s">
        <v>13036</v>
      </c>
      <c r="C5095" s="19"/>
      <c r="D5095" s="19"/>
      <c r="E5095" s="22"/>
      <c r="F5095" s="22"/>
      <c r="G5095" s="22"/>
    </row>
    <row r="5096" spans="1:7" x14ac:dyDescent="0.15">
      <c r="A5096" s="19" t="s">
        <v>12867</v>
      </c>
      <c r="B5096" s="19" t="s">
        <v>13037</v>
      </c>
      <c r="C5096" s="19"/>
      <c r="D5096" s="19"/>
      <c r="E5096" s="22"/>
      <c r="F5096" s="22"/>
      <c r="G5096" s="22"/>
    </row>
    <row r="5097" spans="1:7" x14ac:dyDescent="0.15">
      <c r="A5097" s="19" t="s">
        <v>12867</v>
      </c>
      <c r="B5097" s="19" t="s">
        <v>13038</v>
      </c>
      <c r="C5097" s="19"/>
      <c r="D5097" s="19"/>
      <c r="E5097" s="22"/>
      <c r="F5097" s="22"/>
      <c r="G5097" s="22"/>
    </row>
    <row r="5098" spans="1:7" x14ac:dyDescent="0.15">
      <c r="A5098" s="19" t="s">
        <v>12867</v>
      </c>
      <c r="B5098" s="19" t="s">
        <v>13039</v>
      </c>
      <c r="C5098" s="19"/>
      <c r="D5098" s="19"/>
      <c r="E5098" s="22"/>
      <c r="F5098" s="22"/>
      <c r="G5098" s="22"/>
    </row>
    <row r="5099" spans="1:7" x14ac:dyDescent="0.15">
      <c r="A5099" s="19" t="s">
        <v>12867</v>
      </c>
      <c r="B5099" s="19" t="s">
        <v>13040</v>
      </c>
      <c r="C5099" s="19"/>
      <c r="D5099" s="19"/>
      <c r="E5099" s="22"/>
      <c r="F5099" s="22"/>
      <c r="G5099" s="22"/>
    </row>
    <row r="5100" spans="1:7" x14ac:dyDescent="0.15">
      <c r="A5100" s="19" t="s">
        <v>12867</v>
      </c>
      <c r="B5100" s="19" t="s">
        <v>13041</v>
      </c>
      <c r="C5100" s="19"/>
      <c r="D5100" s="19"/>
      <c r="E5100" s="22"/>
      <c r="F5100" s="22"/>
      <c r="G5100" s="22"/>
    </row>
    <row r="5101" spans="1:7" x14ac:dyDescent="0.15">
      <c r="A5101" s="19" t="s">
        <v>12867</v>
      </c>
      <c r="B5101" s="19" t="s">
        <v>13042</v>
      </c>
      <c r="C5101" s="19"/>
      <c r="D5101" s="19"/>
      <c r="E5101" s="22"/>
      <c r="F5101" s="22"/>
      <c r="G5101" s="22"/>
    </row>
    <row r="5102" spans="1:7" x14ac:dyDescent="0.15">
      <c r="A5102" s="19" t="s">
        <v>12867</v>
      </c>
      <c r="B5102" s="19" t="s">
        <v>13043</v>
      </c>
      <c r="C5102" s="19"/>
      <c r="D5102" s="19"/>
      <c r="E5102" s="22"/>
      <c r="F5102" s="22"/>
      <c r="G5102" s="22"/>
    </row>
    <row r="5103" spans="1:7" x14ac:dyDescent="0.15">
      <c r="A5103" s="19" t="s">
        <v>12867</v>
      </c>
      <c r="B5103" s="19" t="s">
        <v>13044</v>
      </c>
      <c r="C5103" s="19"/>
      <c r="D5103" s="19"/>
      <c r="E5103" s="22"/>
      <c r="F5103" s="22"/>
      <c r="G5103" s="22"/>
    </row>
    <row r="5104" spans="1:7" x14ac:dyDescent="0.15">
      <c r="A5104" s="19" t="s">
        <v>12867</v>
      </c>
      <c r="B5104" s="19" t="s">
        <v>13045</v>
      </c>
      <c r="C5104" s="19"/>
      <c r="D5104" s="19"/>
      <c r="E5104" s="22"/>
      <c r="F5104" s="22"/>
      <c r="G5104" s="22"/>
    </row>
    <row r="5105" spans="1:7" x14ac:dyDescent="0.15">
      <c r="A5105" s="19" t="s">
        <v>12867</v>
      </c>
      <c r="B5105" s="19" t="s">
        <v>13046</v>
      </c>
      <c r="C5105" s="19"/>
      <c r="D5105" s="19"/>
      <c r="E5105" s="22"/>
      <c r="F5105" s="22"/>
      <c r="G5105" s="22"/>
    </row>
    <row r="5106" spans="1:7" x14ac:dyDescent="0.15">
      <c r="A5106" s="19" t="s">
        <v>12867</v>
      </c>
      <c r="B5106" s="19" t="s">
        <v>13047</v>
      </c>
      <c r="C5106" s="19"/>
      <c r="D5106" s="19"/>
      <c r="E5106" s="22"/>
      <c r="F5106" s="22"/>
      <c r="G5106" s="22"/>
    </row>
    <row r="5107" spans="1:7" x14ac:dyDescent="0.15">
      <c r="A5107" s="19" t="s">
        <v>12867</v>
      </c>
      <c r="B5107" s="19" t="s">
        <v>13048</v>
      </c>
      <c r="C5107" s="19"/>
      <c r="D5107" s="19"/>
      <c r="E5107" s="22"/>
      <c r="F5107" s="22"/>
      <c r="G5107" s="22"/>
    </row>
    <row r="5108" spans="1:7" x14ac:dyDescent="0.15">
      <c r="A5108" s="19" t="s">
        <v>12867</v>
      </c>
      <c r="B5108" s="19" t="s">
        <v>13049</v>
      </c>
      <c r="C5108" s="19"/>
      <c r="D5108" s="19"/>
      <c r="E5108" s="22"/>
      <c r="F5108" s="22"/>
      <c r="G5108" s="22"/>
    </row>
    <row r="5109" spans="1:7" x14ac:dyDescent="0.15">
      <c r="A5109" s="19" t="s">
        <v>12867</v>
      </c>
      <c r="B5109" s="19" t="s">
        <v>13050</v>
      </c>
      <c r="C5109" s="19"/>
      <c r="D5109" s="19"/>
      <c r="E5109" s="22"/>
      <c r="F5109" s="22"/>
      <c r="G5109" s="22"/>
    </row>
    <row r="5110" spans="1:7" x14ac:dyDescent="0.15">
      <c r="A5110" s="19" t="s">
        <v>12867</v>
      </c>
      <c r="B5110" s="19" t="s">
        <v>13051</v>
      </c>
      <c r="C5110" s="19"/>
      <c r="D5110" s="19"/>
      <c r="E5110" s="22"/>
      <c r="F5110" s="22"/>
      <c r="G5110" s="22"/>
    </row>
    <row r="5111" spans="1:7" x14ac:dyDescent="0.15">
      <c r="A5111" s="19" t="s">
        <v>12867</v>
      </c>
      <c r="B5111" s="19" t="s">
        <v>13052</v>
      </c>
      <c r="C5111" s="19"/>
      <c r="D5111" s="19"/>
      <c r="E5111" s="22"/>
      <c r="F5111" s="22"/>
      <c r="G5111" s="22"/>
    </row>
    <row r="5112" spans="1:7" x14ac:dyDescent="0.15">
      <c r="A5112" s="19" t="s">
        <v>12867</v>
      </c>
      <c r="B5112" s="19" t="s">
        <v>13053</v>
      </c>
      <c r="C5112" s="19"/>
      <c r="D5112" s="19"/>
      <c r="E5112" s="22"/>
      <c r="F5112" s="22"/>
      <c r="G5112" s="22"/>
    </row>
    <row r="5113" spans="1:7" x14ac:dyDescent="0.15">
      <c r="A5113" s="19" t="s">
        <v>12867</v>
      </c>
      <c r="B5113" s="19" t="s">
        <v>13054</v>
      </c>
      <c r="C5113" s="19"/>
      <c r="D5113" s="19"/>
      <c r="E5113" s="22"/>
      <c r="F5113" s="22"/>
      <c r="G5113" s="22"/>
    </row>
    <row r="5114" spans="1:7" x14ac:dyDescent="0.15">
      <c r="A5114" s="19" t="s">
        <v>12867</v>
      </c>
      <c r="B5114" s="19" t="s">
        <v>13055</v>
      </c>
      <c r="C5114" s="19"/>
      <c r="D5114" s="19"/>
      <c r="E5114" s="22"/>
      <c r="F5114" s="22"/>
      <c r="G5114" s="22"/>
    </row>
    <row r="5115" spans="1:7" x14ac:dyDescent="0.15">
      <c r="A5115" s="19" t="s">
        <v>12867</v>
      </c>
      <c r="B5115" s="19" t="s">
        <v>13056</v>
      </c>
      <c r="C5115" s="19"/>
      <c r="D5115" s="19"/>
      <c r="E5115" s="22"/>
      <c r="F5115" s="22"/>
      <c r="G5115" s="22"/>
    </row>
    <row r="5116" spans="1:7" x14ac:dyDescent="0.15">
      <c r="A5116" s="19" t="s">
        <v>12867</v>
      </c>
      <c r="B5116" s="19" t="s">
        <v>13057</v>
      </c>
      <c r="C5116" s="19"/>
      <c r="D5116" s="19"/>
      <c r="E5116" s="22"/>
      <c r="F5116" s="22"/>
      <c r="G5116" s="22"/>
    </row>
    <row r="5117" spans="1:7" x14ac:dyDescent="0.15">
      <c r="A5117" s="19" t="s">
        <v>12867</v>
      </c>
      <c r="B5117" s="19" t="s">
        <v>13058</v>
      </c>
      <c r="C5117" s="19"/>
      <c r="D5117" s="19"/>
      <c r="E5117" s="22"/>
      <c r="F5117" s="22"/>
      <c r="G5117" s="22"/>
    </row>
    <row r="5118" spans="1:7" x14ac:dyDescent="0.15">
      <c r="A5118" s="19" t="s">
        <v>12867</v>
      </c>
      <c r="B5118" s="19" t="s">
        <v>13059</v>
      </c>
      <c r="C5118" s="19"/>
      <c r="D5118" s="19"/>
      <c r="E5118" s="22"/>
      <c r="F5118" s="22"/>
      <c r="G5118" s="22"/>
    </row>
    <row r="5119" spans="1:7" x14ac:dyDescent="0.15">
      <c r="A5119" s="19" t="s">
        <v>12867</v>
      </c>
      <c r="B5119" s="19" t="s">
        <v>13060</v>
      </c>
      <c r="C5119" s="19"/>
      <c r="D5119" s="19"/>
      <c r="E5119" s="22"/>
      <c r="F5119" s="22"/>
      <c r="G5119" s="22"/>
    </row>
    <row r="5120" spans="1:7" x14ac:dyDescent="0.15">
      <c r="A5120" s="19" t="s">
        <v>12867</v>
      </c>
      <c r="B5120" s="19" t="s">
        <v>13061</v>
      </c>
      <c r="C5120" s="19"/>
      <c r="D5120" s="19"/>
      <c r="E5120" s="22"/>
      <c r="F5120" s="22"/>
      <c r="G5120" s="22"/>
    </row>
    <row r="5121" spans="1:7" x14ac:dyDescent="0.15">
      <c r="A5121" s="19" t="s">
        <v>12867</v>
      </c>
      <c r="B5121" s="19" t="s">
        <v>13062</v>
      </c>
      <c r="C5121" s="19"/>
      <c r="D5121" s="19"/>
      <c r="E5121" s="22"/>
      <c r="F5121" s="22"/>
      <c r="G5121" s="22"/>
    </row>
    <row r="5122" spans="1:7" x14ac:dyDescent="0.15">
      <c r="A5122" s="19" t="s">
        <v>12867</v>
      </c>
      <c r="B5122" s="19" t="s">
        <v>13063</v>
      </c>
      <c r="C5122" s="19"/>
      <c r="D5122" s="19"/>
      <c r="E5122" s="22"/>
      <c r="F5122" s="22"/>
      <c r="G5122" s="22"/>
    </row>
    <row r="5123" spans="1:7" x14ac:dyDescent="0.15">
      <c r="A5123" s="19" t="s">
        <v>12867</v>
      </c>
      <c r="B5123" s="19" t="s">
        <v>13064</v>
      </c>
      <c r="C5123" s="19"/>
      <c r="D5123" s="19"/>
      <c r="E5123" s="22"/>
      <c r="F5123" s="22"/>
      <c r="G5123" s="22"/>
    </row>
    <row r="5124" spans="1:7" x14ac:dyDescent="0.15">
      <c r="A5124" s="19" t="s">
        <v>12867</v>
      </c>
      <c r="B5124" s="19" t="s">
        <v>13065</v>
      </c>
      <c r="C5124" s="19"/>
      <c r="D5124" s="19"/>
      <c r="E5124" s="22"/>
      <c r="F5124" s="22"/>
      <c r="G5124" s="22"/>
    </row>
    <row r="5125" spans="1:7" x14ac:dyDescent="0.15">
      <c r="A5125" s="19" t="s">
        <v>12867</v>
      </c>
      <c r="B5125" s="19" t="s">
        <v>13066</v>
      </c>
      <c r="C5125" s="19"/>
      <c r="D5125" s="19"/>
      <c r="E5125" s="22"/>
      <c r="F5125" s="22"/>
      <c r="G5125" s="22"/>
    </row>
    <row r="5126" spans="1:7" x14ac:dyDescent="0.15">
      <c r="A5126" s="19" t="s">
        <v>12867</v>
      </c>
      <c r="B5126" s="19" t="s">
        <v>13067</v>
      </c>
      <c r="C5126" s="19"/>
      <c r="D5126" s="19"/>
      <c r="E5126" s="22"/>
      <c r="F5126" s="22"/>
      <c r="G5126" s="22"/>
    </row>
    <row r="5127" spans="1:7" x14ac:dyDescent="0.15">
      <c r="A5127" s="19" t="s">
        <v>12867</v>
      </c>
      <c r="B5127" s="19" t="s">
        <v>13068</v>
      </c>
      <c r="C5127" s="19"/>
      <c r="D5127" s="19"/>
      <c r="E5127" s="22"/>
      <c r="F5127" s="22"/>
      <c r="G5127" s="22"/>
    </row>
    <row r="5128" spans="1:7" x14ac:dyDescent="0.15">
      <c r="A5128" s="19" t="s">
        <v>12867</v>
      </c>
      <c r="B5128" s="19" t="s">
        <v>13069</v>
      </c>
      <c r="C5128" s="19"/>
      <c r="D5128" s="19"/>
      <c r="E5128" s="22"/>
      <c r="F5128" s="22"/>
      <c r="G5128" s="22"/>
    </row>
    <row r="5129" spans="1:7" x14ac:dyDescent="0.15">
      <c r="A5129" s="19" t="s">
        <v>12867</v>
      </c>
      <c r="B5129" s="19" t="s">
        <v>13070</v>
      </c>
      <c r="C5129" s="19"/>
      <c r="D5129" s="19"/>
      <c r="E5129" s="22"/>
      <c r="F5129" s="22"/>
      <c r="G5129" s="22"/>
    </row>
    <row r="5130" spans="1:7" x14ac:dyDescent="0.15">
      <c r="A5130" s="19" t="s">
        <v>12867</v>
      </c>
      <c r="B5130" s="19" t="s">
        <v>13071</v>
      </c>
      <c r="C5130" s="19"/>
      <c r="D5130" s="19"/>
      <c r="E5130" s="22"/>
      <c r="F5130" s="22"/>
      <c r="G5130" s="22"/>
    </row>
    <row r="5131" spans="1:7" x14ac:dyDescent="0.15">
      <c r="A5131" s="19" t="s">
        <v>12867</v>
      </c>
      <c r="B5131" s="19" t="s">
        <v>13072</v>
      </c>
      <c r="C5131" s="19"/>
      <c r="D5131" s="19"/>
      <c r="E5131" s="22"/>
      <c r="F5131" s="22"/>
      <c r="G5131" s="22"/>
    </row>
    <row r="5132" spans="1:7" x14ac:dyDescent="0.15">
      <c r="A5132" s="19" t="s">
        <v>12867</v>
      </c>
      <c r="B5132" s="19" t="s">
        <v>13073</v>
      </c>
      <c r="C5132" s="19"/>
      <c r="D5132" s="19"/>
      <c r="E5132" s="22"/>
      <c r="F5132" s="22"/>
      <c r="G5132" s="22"/>
    </row>
    <row r="5133" spans="1:7" x14ac:dyDescent="0.15">
      <c r="A5133" s="19" t="s">
        <v>12867</v>
      </c>
      <c r="B5133" s="19" t="s">
        <v>13074</v>
      </c>
      <c r="C5133" s="19"/>
      <c r="D5133" s="19"/>
      <c r="E5133" s="22"/>
      <c r="F5133" s="22"/>
      <c r="G5133" s="22"/>
    </row>
    <row r="5134" spans="1:7" x14ac:dyDescent="0.15">
      <c r="A5134" s="19" t="s">
        <v>12867</v>
      </c>
      <c r="B5134" s="19" t="s">
        <v>13075</v>
      </c>
      <c r="C5134" s="19"/>
      <c r="D5134" s="19"/>
      <c r="E5134" s="22"/>
      <c r="F5134" s="22"/>
      <c r="G5134" s="22"/>
    </row>
    <row r="5135" spans="1:7" x14ac:dyDescent="0.15">
      <c r="A5135" s="19" t="s">
        <v>12867</v>
      </c>
      <c r="B5135" s="19" t="s">
        <v>13076</v>
      </c>
      <c r="C5135" s="19"/>
      <c r="D5135" s="19"/>
      <c r="E5135" s="22"/>
      <c r="F5135" s="22"/>
      <c r="G5135" s="22"/>
    </row>
    <row r="5136" spans="1:7" x14ac:dyDescent="0.15">
      <c r="A5136" s="19" t="s">
        <v>12867</v>
      </c>
      <c r="B5136" s="19" t="s">
        <v>13077</v>
      </c>
      <c r="C5136" s="19"/>
      <c r="D5136" s="19"/>
      <c r="E5136" s="22"/>
      <c r="F5136" s="22"/>
      <c r="G5136" s="22"/>
    </row>
    <row r="5137" spans="1:7" x14ac:dyDescent="0.15">
      <c r="A5137" s="19" t="s">
        <v>12867</v>
      </c>
      <c r="B5137" s="19" t="s">
        <v>13078</v>
      </c>
      <c r="C5137" s="19"/>
      <c r="D5137" s="19"/>
      <c r="E5137" s="22"/>
      <c r="F5137" s="22"/>
      <c r="G5137" s="22"/>
    </row>
    <row r="5138" spans="1:7" x14ac:dyDescent="0.15">
      <c r="A5138" s="19" t="s">
        <v>12867</v>
      </c>
      <c r="B5138" s="19" t="s">
        <v>13079</v>
      </c>
      <c r="C5138" s="19"/>
      <c r="D5138" s="19"/>
      <c r="E5138" s="22"/>
      <c r="F5138" s="22"/>
      <c r="G5138" s="22"/>
    </row>
    <row r="5139" spans="1:7" x14ac:dyDescent="0.15">
      <c r="A5139" s="19" t="s">
        <v>12867</v>
      </c>
      <c r="B5139" s="19" t="s">
        <v>13080</v>
      </c>
      <c r="C5139" s="19"/>
      <c r="D5139" s="19"/>
      <c r="E5139" s="22"/>
      <c r="F5139" s="22"/>
      <c r="G5139" s="22"/>
    </row>
    <row r="5140" spans="1:7" x14ac:dyDescent="0.15">
      <c r="A5140" s="19" t="s">
        <v>12867</v>
      </c>
      <c r="B5140" s="19" t="s">
        <v>13081</v>
      </c>
      <c r="C5140" s="19"/>
      <c r="D5140" s="19"/>
      <c r="E5140" s="22"/>
      <c r="F5140" s="22"/>
      <c r="G5140" s="22"/>
    </row>
    <row r="5141" spans="1:7" x14ac:dyDescent="0.15">
      <c r="A5141" s="19" t="s">
        <v>12867</v>
      </c>
      <c r="B5141" s="19" t="s">
        <v>13082</v>
      </c>
      <c r="C5141" s="19"/>
      <c r="D5141" s="19"/>
      <c r="E5141" s="22"/>
      <c r="F5141" s="22"/>
      <c r="G5141" s="22"/>
    </row>
    <row r="5142" spans="1:7" x14ac:dyDescent="0.15">
      <c r="A5142" s="19" t="s">
        <v>12867</v>
      </c>
      <c r="B5142" s="19" t="s">
        <v>13083</v>
      </c>
      <c r="C5142" s="19"/>
      <c r="D5142" s="19"/>
      <c r="E5142" s="22"/>
      <c r="F5142" s="22"/>
      <c r="G5142" s="22"/>
    </row>
    <row r="5143" spans="1:7" x14ac:dyDescent="0.15">
      <c r="A5143" s="19" t="s">
        <v>12867</v>
      </c>
      <c r="B5143" s="19" t="s">
        <v>13084</v>
      </c>
      <c r="C5143" s="19"/>
      <c r="D5143" s="19"/>
      <c r="E5143" s="22"/>
      <c r="F5143" s="22"/>
      <c r="G5143" s="22"/>
    </row>
    <row r="5144" spans="1:7" x14ac:dyDescent="0.15">
      <c r="A5144" s="19" t="s">
        <v>12867</v>
      </c>
      <c r="B5144" s="19" t="s">
        <v>13085</v>
      </c>
      <c r="C5144" s="19"/>
      <c r="D5144" s="19"/>
      <c r="E5144" s="22"/>
      <c r="F5144" s="22"/>
      <c r="G5144" s="22"/>
    </row>
    <row r="5145" spans="1:7" x14ac:dyDescent="0.15">
      <c r="A5145" s="19" t="s">
        <v>12867</v>
      </c>
      <c r="B5145" s="19" t="s">
        <v>13086</v>
      </c>
      <c r="C5145" s="19"/>
      <c r="D5145" s="19"/>
      <c r="E5145" s="22"/>
      <c r="F5145" s="22"/>
      <c r="G5145" s="22"/>
    </row>
    <row r="5146" spans="1:7" x14ac:dyDescent="0.15">
      <c r="A5146" s="19" t="s">
        <v>12867</v>
      </c>
      <c r="B5146" s="19" t="s">
        <v>13087</v>
      </c>
      <c r="C5146" s="19"/>
      <c r="D5146" s="19"/>
      <c r="E5146" s="22"/>
      <c r="F5146" s="22"/>
      <c r="G5146" s="22"/>
    </row>
    <row r="5147" spans="1:7" x14ac:dyDescent="0.15">
      <c r="A5147" s="19" t="s">
        <v>12867</v>
      </c>
      <c r="B5147" s="19" t="s">
        <v>13088</v>
      </c>
      <c r="C5147" s="19"/>
      <c r="D5147" s="19"/>
      <c r="E5147" s="22"/>
      <c r="F5147" s="22"/>
      <c r="G5147" s="22"/>
    </row>
    <row r="5148" spans="1:7" x14ac:dyDescent="0.15">
      <c r="A5148" s="19" t="s">
        <v>12867</v>
      </c>
      <c r="B5148" s="19" t="s">
        <v>13089</v>
      </c>
      <c r="C5148" s="19"/>
      <c r="D5148" s="19"/>
      <c r="E5148" s="22"/>
      <c r="F5148" s="22"/>
      <c r="G5148" s="22"/>
    </row>
    <row r="5149" spans="1:7" x14ac:dyDescent="0.15">
      <c r="A5149" s="19" t="s">
        <v>12867</v>
      </c>
      <c r="B5149" s="19" t="s">
        <v>13090</v>
      </c>
      <c r="C5149" s="19"/>
      <c r="D5149" s="19"/>
      <c r="E5149" s="22"/>
      <c r="F5149" s="22"/>
      <c r="G5149" s="22"/>
    </row>
    <row r="5150" spans="1:7" x14ac:dyDescent="0.15">
      <c r="A5150" s="19" t="s">
        <v>12867</v>
      </c>
      <c r="B5150" s="19" t="s">
        <v>13091</v>
      </c>
      <c r="C5150" s="19"/>
      <c r="D5150" s="19"/>
      <c r="E5150" s="22"/>
      <c r="F5150" s="22"/>
      <c r="G5150" s="22"/>
    </row>
    <row r="5151" spans="1:7" x14ac:dyDescent="0.15">
      <c r="A5151" s="19" t="s">
        <v>12867</v>
      </c>
      <c r="B5151" s="19" t="s">
        <v>13092</v>
      </c>
      <c r="C5151" s="19"/>
      <c r="D5151" s="19"/>
      <c r="E5151" s="22"/>
      <c r="F5151" s="22"/>
      <c r="G5151" s="22"/>
    </row>
    <row r="5152" spans="1:7" x14ac:dyDescent="0.15">
      <c r="A5152" s="19" t="s">
        <v>12867</v>
      </c>
      <c r="B5152" s="19" t="s">
        <v>13093</v>
      </c>
      <c r="C5152" s="19"/>
      <c r="D5152" s="19"/>
      <c r="E5152" s="22"/>
      <c r="F5152" s="22"/>
      <c r="G5152" s="22"/>
    </row>
    <row r="5153" spans="1:7" x14ac:dyDescent="0.15">
      <c r="A5153" s="19" t="s">
        <v>12867</v>
      </c>
      <c r="B5153" s="19" t="s">
        <v>13094</v>
      </c>
      <c r="C5153" s="19"/>
      <c r="D5153" s="19"/>
      <c r="E5153" s="22"/>
      <c r="F5153" s="22"/>
      <c r="G5153" s="22"/>
    </row>
    <row r="5154" spans="1:7" x14ac:dyDescent="0.15">
      <c r="A5154" s="19" t="s">
        <v>12867</v>
      </c>
      <c r="B5154" s="19" t="s">
        <v>13095</v>
      </c>
      <c r="C5154" s="19"/>
      <c r="D5154" s="19"/>
      <c r="E5154" s="22"/>
      <c r="F5154" s="22"/>
      <c r="G5154" s="22"/>
    </row>
    <row r="5155" spans="1:7" x14ac:dyDescent="0.15">
      <c r="A5155" s="19" t="s">
        <v>12867</v>
      </c>
      <c r="B5155" s="19" t="s">
        <v>13096</v>
      </c>
      <c r="C5155" s="19"/>
      <c r="D5155" s="19"/>
      <c r="E5155" s="22"/>
      <c r="F5155" s="22"/>
      <c r="G5155" s="22"/>
    </row>
    <row r="5156" spans="1:7" x14ac:dyDescent="0.15">
      <c r="A5156" s="19" t="s">
        <v>12867</v>
      </c>
      <c r="B5156" s="19" t="s">
        <v>13097</v>
      </c>
      <c r="C5156" s="19"/>
      <c r="D5156" s="19"/>
      <c r="E5156" s="22"/>
      <c r="F5156" s="22"/>
      <c r="G5156" s="22"/>
    </row>
    <row r="5157" spans="1:7" x14ac:dyDescent="0.15">
      <c r="A5157" s="19" t="s">
        <v>12867</v>
      </c>
      <c r="B5157" s="19" t="s">
        <v>13098</v>
      </c>
      <c r="C5157" s="19"/>
      <c r="D5157" s="19"/>
      <c r="E5157" s="22"/>
      <c r="F5157" s="22"/>
      <c r="G5157" s="22"/>
    </row>
    <row r="5158" spans="1:7" x14ac:dyDescent="0.15">
      <c r="A5158" s="19" t="s">
        <v>12867</v>
      </c>
      <c r="B5158" s="19" t="s">
        <v>13099</v>
      </c>
      <c r="C5158" s="19"/>
      <c r="D5158" s="19"/>
      <c r="E5158" s="22"/>
      <c r="F5158" s="22"/>
      <c r="G5158" s="22"/>
    </row>
    <row r="5159" spans="1:7" x14ac:dyDescent="0.15">
      <c r="A5159" s="19" t="s">
        <v>12867</v>
      </c>
      <c r="B5159" s="19" t="s">
        <v>13100</v>
      </c>
      <c r="C5159" s="19"/>
      <c r="D5159" s="19"/>
      <c r="E5159" s="22"/>
      <c r="F5159" s="22"/>
      <c r="G5159" s="22"/>
    </row>
    <row r="5160" spans="1:7" x14ac:dyDescent="0.15">
      <c r="A5160" s="19" t="s">
        <v>12867</v>
      </c>
      <c r="B5160" s="19" t="s">
        <v>13101</v>
      </c>
      <c r="C5160" s="19"/>
      <c r="D5160" s="19"/>
      <c r="E5160" s="22"/>
      <c r="F5160" s="22"/>
      <c r="G5160" s="22"/>
    </row>
    <row r="5161" spans="1:7" x14ac:dyDescent="0.15">
      <c r="A5161" s="19" t="s">
        <v>12867</v>
      </c>
      <c r="B5161" s="19" t="s">
        <v>13102</v>
      </c>
      <c r="C5161" s="19"/>
      <c r="D5161" s="19"/>
      <c r="E5161" s="22"/>
      <c r="F5161" s="22"/>
      <c r="G5161" s="22"/>
    </row>
    <row r="5162" spans="1:7" x14ac:dyDescent="0.15">
      <c r="A5162" s="19" t="s">
        <v>12867</v>
      </c>
      <c r="B5162" s="19" t="s">
        <v>13103</v>
      </c>
      <c r="C5162" s="19"/>
      <c r="D5162" s="19"/>
      <c r="E5162" s="22"/>
      <c r="F5162" s="22"/>
      <c r="G5162" s="22"/>
    </row>
    <row r="5163" spans="1:7" x14ac:dyDescent="0.15">
      <c r="A5163" s="19" t="s">
        <v>12867</v>
      </c>
      <c r="B5163" s="19" t="s">
        <v>13104</v>
      </c>
      <c r="C5163" s="19"/>
      <c r="D5163" s="19"/>
      <c r="E5163" s="22"/>
      <c r="F5163" s="22"/>
      <c r="G5163" s="22"/>
    </row>
    <row r="5164" spans="1:7" x14ac:dyDescent="0.15">
      <c r="A5164" s="19" t="s">
        <v>12867</v>
      </c>
      <c r="B5164" s="19" t="s">
        <v>13105</v>
      </c>
      <c r="C5164" s="19"/>
      <c r="D5164" s="19"/>
      <c r="E5164" s="22"/>
      <c r="F5164" s="22"/>
      <c r="G5164" s="22"/>
    </row>
    <row r="5165" spans="1:7" x14ac:dyDescent="0.15">
      <c r="A5165" s="19" t="s">
        <v>12867</v>
      </c>
      <c r="B5165" s="19" t="s">
        <v>13106</v>
      </c>
      <c r="C5165" s="19"/>
      <c r="D5165" s="19"/>
      <c r="E5165" s="22"/>
      <c r="F5165" s="22"/>
      <c r="G5165" s="22"/>
    </row>
    <row r="5166" spans="1:7" x14ac:dyDescent="0.15">
      <c r="A5166" s="19" t="s">
        <v>12867</v>
      </c>
      <c r="B5166" s="19" t="s">
        <v>13107</v>
      </c>
      <c r="C5166" s="19"/>
      <c r="D5166" s="19"/>
      <c r="E5166" s="22"/>
      <c r="F5166" s="22"/>
      <c r="G5166" s="22"/>
    </row>
    <row r="5167" spans="1:7" x14ac:dyDescent="0.15">
      <c r="A5167" s="19" t="s">
        <v>12867</v>
      </c>
      <c r="B5167" s="19" t="s">
        <v>13108</v>
      </c>
      <c r="C5167" s="19"/>
      <c r="D5167" s="19"/>
      <c r="E5167" s="22"/>
      <c r="F5167" s="22"/>
      <c r="G5167" s="22"/>
    </row>
    <row r="5168" spans="1:7" x14ac:dyDescent="0.15">
      <c r="A5168" s="19" t="s">
        <v>12867</v>
      </c>
      <c r="B5168" s="19" t="s">
        <v>13109</v>
      </c>
      <c r="C5168" s="19"/>
      <c r="D5168" s="19"/>
      <c r="E5168" s="22"/>
      <c r="F5168" s="22"/>
      <c r="G5168" s="22"/>
    </row>
    <row r="5169" spans="1:7" x14ac:dyDescent="0.15">
      <c r="A5169" s="19" t="s">
        <v>12867</v>
      </c>
      <c r="B5169" s="19" t="s">
        <v>13110</v>
      </c>
      <c r="C5169" s="19"/>
      <c r="D5169" s="19"/>
      <c r="E5169" s="22"/>
      <c r="F5169" s="22"/>
      <c r="G5169" s="22"/>
    </row>
    <row r="5170" spans="1:7" x14ac:dyDescent="0.15">
      <c r="A5170" s="19" t="s">
        <v>12867</v>
      </c>
      <c r="B5170" s="19" t="s">
        <v>13111</v>
      </c>
      <c r="C5170" s="19"/>
      <c r="D5170" s="19"/>
      <c r="E5170" s="22"/>
      <c r="F5170" s="22"/>
      <c r="G5170" s="22"/>
    </row>
    <row r="5171" spans="1:7" x14ac:dyDescent="0.15">
      <c r="A5171" s="19" t="s">
        <v>12867</v>
      </c>
      <c r="B5171" s="19" t="s">
        <v>13112</v>
      </c>
      <c r="C5171" s="19"/>
      <c r="D5171" s="19"/>
      <c r="E5171" s="22"/>
      <c r="F5171" s="22"/>
      <c r="G5171" s="22"/>
    </row>
    <row r="5172" spans="1:7" x14ac:dyDescent="0.15">
      <c r="A5172" s="19" t="s">
        <v>12867</v>
      </c>
      <c r="B5172" s="19" t="s">
        <v>13113</v>
      </c>
      <c r="C5172" s="19"/>
      <c r="D5172" s="19"/>
      <c r="E5172" s="22"/>
      <c r="F5172" s="22"/>
      <c r="G5172" s="22"/>
    </row>
    <row r="5173" spans="1:7" x14ac:dyDescent="0.15">
      <c r="A5173" s="19" t="s">
        <v>12867</v>
      </c>
      <c r="B5173" s="19" t="s">
        <v>13114</v>
      </c>
      <c r="C5173" s="19"/>
      <c r="D5173" s="19"/>
      <c r="E5173" s="22"/>
      <c r="F5173" s="22"/>
      <c r="G5173" s="22"/>
    </row>
    <row r="5174" spans="1:7" x14ac:dyDescent="0.15">
      <c r="A5174" s="19" t="s">
        <v>12867</v>
      </c>
      <c r="B5174" s="19" t="s">
        <v>13115</v>
      </c>
      <c r="C5174" s="19"/>
      <c r="D5174" s="19"/>
      <c r="E5174" s="22"/>
      <c r="F5174" s="22"/>
      <c r="G5174" s="22"/>
    </row>
    <row r="5175" spans="1:7" x14ac:dyDescent="0.15">
      <c r="A5175" s="19" t="s">
        <v>12867</v>
      </c>
      <c r="B5175" s="19" t="s">
        <v>13116</v>
      </c>
      <c r="C5175" s="19"/>
      <c r="D5175" s="19"/>
      <c r="E5175" s="22"/>
      <c r="F5175" s="22"/>
      <c r="G5175" s="22"/>
    </row>
    <row r="5176" spans="1:7" x14ac:dyDescent="0.15">
      <c r="A5176" s="19" t="s">
        <v>12867</v>
      </c>
      <c r="B5176" s="19" t="s">
        <v>13117</v>
      </c>
      <c r="C5176" s="19"/>
      <c r="D5176" s="19"/>
      <c r="E5176" s="22"/>
      <c r="F5176" s="22"/>
      <c r="G5176" s="22"/>
    </row>
    <row r="5177" spans="1:7" x14ac:dyDescent="0.15">
      <c r="A5177" s="19" t="s">
        <v>12867</v>
      </c>
      <c r="B5177" s="19" t="s">
        <v>13118</v>
      </c>
      <c r="C5177" s="19"/>
      <c r="D5177" s="19"/>
      <c r="E5177" s="22"/>
      <c r="F5177" s="22"/>
      <c r="G5177" s="22"/>
    </row>
    <row r="5178" spans="1:7" x14ac:dyDescent="0.15">
      <c r="A5178" s="19" t="s">
        <v>12867</v>
      </c>
      <c r="B5178" s="19" t="s">
        <v>13119</v>
      </c>
      <c r="C5178" s="19"/>
      <c r="D5178" s="19"/>
      <c r="E5178" s="22"/>
      <c r="F5178" s="22"/>
      <c r="G5178" s="22"/>
    </row>
    <row r="5179" spans="1:7" x14ac:dyDescent="0.15">
      <c r="A5179" s="19" t="s">
        <v>12867</v>
      </c>
      <c r="B5179" s="19" t="s">
        <v>13120</v>
      </c>
      <c r="C5179" s="19"/>
      <c r="D5179" s="19"/>
      <c r="E5179" s="22"/>
      <c r="F5179" s="22"/>
      <c r="G5179" s="22"/>
    </row>
    <row r="5180" spans="1:7" x14ac:dyDescent="0.15">
      <c r="A5180" s="19" t="s">
        <v>12867</v>
      </c>
      <c r="B5180" s="19" t="s">
        <v>13121</v>
      </c>
      <c r="C5180" s="19"/>
      <c r="D5180" s="19"/>
      <c r="E5180" s="22"/>
      <c r="F5180" s="22"/>
      <c r="G5180" s="22"/>
    </row>
    <row r="5181" spans="1:7" x14ac:dyDescent="0.15">
      <c r="A5181" s="19" t="s">
        <v>12867</v>
      </c>
      <c r="B5181" s="19" t="s">
        <v>13122</v>
      </c>
      <c r="C5181" s="19"/>
      <c r="D5181" s="19"/>
      <c r="E5181" s="22"/>
      <c r="F5181" s="22"/>
      <c r="G5181" s="22"/>
    </row>
    <row r="5182" spans="1:7" x14ac:dyDescent="0.15">
      <c r="A5182" s="19" t="s">
        <v>12867</v>
      </c>
      <c r="B5182" s="19" t="s">
        <v>13123</v>
      </c>
      <c r="C5182" s="19"/>
      <c r="D5182" s="19"/>
      <c r="E5182" s="22"/>
      <c r="F5182" s="22"/>
      <c r="G5182" s="22"/>
    </row>
    <row r="5183" spans="1:7" x14ac:dyDescent="0.15">
      <c r="A5183" s="19" t="s">
        <v>12867</v>
      </c>
      <c r="B5183" s="19" t="s">
        <v>13124</v>
      </c>
      <c r="C5183" s="19"/>
      <c r="D5183" s="19"/>
      <c r="E5183" s="22"/>
      <c r="F5183" s="22"/>
      <c r="G5183" s="22"/>
    </row>
    <row r="5184" spans="1:7" x14ac:dyDescent="0.15">
      <c r="A5184" s="19" t="s">
        <v>12867</v>
      </c>
      <c r="B5184" s="19" t="s">
        <v>13125</v>
      </c>
      <c r="C5184" s="19"/>
      <c r="D5184" s="19"/>
      <c r="E5184" s="22"/>
      <c r="F5184" s="22"/>
      <c r="G5184" s="22"/>
    </row>
    <row r="5185" spans="1:7" x14ac:dyDescent="0.15">
      <c r="A5185" s="19" t="s">
        <v>12867</v>
      </c>
      <c r="B5185" s="19" t="s">
        <v>13126</v>
      </c>
      <c r="C5185" s="19"/>
      <c r="D5185" s="19"/>
      <c r="E5185" s="22"/>
      <c r="F5185" s="22"/>
      <c r="G5185" s="22"/>
    </row>
    <row r="5186" spans="1:7" x14ac:dyDescent="0.15">
      <c r="A5186" s="19" t="s">
        <v>12867</v>
      </c>
      <c r="B5186" s="19" t="s">
        <v>13127</v>
      </c>
      <c r="C5186" s="19"/>
      <c r="D5186" s="19"/>
      <c r="E5186" s="22"/>
      <c r="F5186" s="22"/>
      <c r="G5186" s="22"/>
    </row>
    <row r="5187" spans="1:7" x14ac:dyDescent="0.15">
      <c r="A5187" s="19" t="s">
        <v>12867</v>
      </c>
      <c r="B5187" s="19" t="s">
        <v>13128</v>
      </c>
      <c r="C5187" s="19"/>
      <c r="D5187" s="19"/>
      <c r="E5187" s="22"/>
      <c r="F5187" s="22"/>
      <c r="G5187" s="22"/>
    </row>
    <row r="5188" spans="1:7" x14ac:dyDescent="0.15">
      <c r="A5188" s="19" t="s">
        <v>12867</v>
      </c>
      <c r="B5188" s="19" t="s">
        <v>13129</v>
      </c>
      <c r="C5188" s="19"/>
      <c r="D5188" s="19"/>
      <c r="E5188" s="22"/>
      <c r="F5188" s="22"/>
      <c r="G5188" s="22"/>
    </row>
    <row r="5189" spans="1:7" x14ac:dyDescent="0.15">
      <c r="A5189" s="19" t="s">
        <v>12867</v>
      </c>
      <c r="B5189" s="19" t="s">
        <v>13130</v>
      </c>
      <c r="C5189" s="19"/>
      <c r="D5189" s="19"/>
      <c r="E5189" s="22"/>
      <c r="F5189" s="22"/>
      <c r="G5189" s="22"/>
    </row>
    <row r="5190" spans="1:7" ht="27" x14ac:dyDescent="0.15">
      <c r="A5190" s="20" t="s">
        <v>13131</v>
      </c>
      <c r="B5190" s="45" t="s">
        <v>13132</v>
      </c>
      <c r="C5190" s="19"/>
      <c r="D5190" s="19"/>
      <c r="E5190" s="22"/>
      <c r="F5190" s="22"/>
      <c r="G5190" s="22"/>
    </row>
    <row r="5191" spans="1:7" ht="40.5" x14ac:dyDescent="0.15">
      <c r="A5191" s="19" t="s">
        <v>13131</v>
      </c>
      <c r="B5191" s="25" t="s">
        <v>13133</v>
      </c>
      <c r="C5191" s="19"/>
      <c r="D5191" s="19"/>
      <c r="E5191" s="22"/>
      <c r="F5191" s="22"/>
      <c r="G5191" s="22"/>
    </row>
    <row r="5192" spans="1:7" ht="256.5" x14ac:dyDescent="0.15">
      <c r="A5192" s="19" t="s">
        <v>13131</v>
      </c>
      <c r="B5192" s="25" t="s">
        <v>13134</v>
      </c>
      <c r="C5192" s="19"/>
      <c r="D5192" s="19"/>
      <c r="E5192" s="22"/>
      <c r="F5192" s="22"/>
      <c r="G5192" s="22"/>
    </row>
    <row r="5193" spans="1:7" ht="108" x14ac:dyDescent="0.15">
      <c r="A5193" s="19" t="s">
        <v>13131</v>
      </c>
      <c r="B5193" s="25" t="s">
        <v>13135</v>
      </c>
      <c r="C5193" s="19"/>
      <c r="D5193" s="19"/>
      <c r="E5193" s="22"/>
      <c r="F5193" s="22"/>
      <c r="G5193" s="22"/>
    </row>
    <row r="5194" spans="1:7" ht="40.5" x14ac:dyDescent="0.15">
      <c r="A5194" s="19" t="s">
        <v>13131</v>
      </c>
      <c r="B5194" s="25" t="s">
        <v>13136</v>
      </c>
      <c r="C5194" s="19"/>
      <c r="D5194" s="19"/>
      <c r="E5194" s="22"/>
      <c r="F5194" s="22"/>
      <c r="G5194" s="22"/>
    </row>
    <row r="5195" spans="1:7" ht="135" x14ac:dyDescent="0.15">
      <c r="A5195" s="19" t="s">
        <v>13131</v>
      </c>
      <c r="B5195" s="25" t="s">
        <v>13137</v>
      </c>
      <c r="C5195" s="19"/>
      <c r="D5195" s="19"/>
      <c r="E5195" s="22"/>
      <c r="F5195" s="22"/>
      <c r="G5195" s="22"/>
    </row>
    <row r="5196" spans="1:7" ht="81" x14ac:dyDescent="0.15">
      <c r="A5196" s="19" t="s">
        <v>13131</v>
      </c>
      <c r="B5196" s="25" t="s">
        <v>13138</v>
      </c>
      <c r="C5196" s="19"/>
      <c r="D5196" s="19"/>
      <c r="E5196" s="22"/>
      <c r="F5196" s="22"/>
      <c r="G5196" s="22"/>
    </row>
    <row r="5197" spans="1:7" ht="148.5" x14ac:dyDescent="0.15">
      <c r="A5197" s="19" t="s">
        <v>13131</v>
      </c>
      <c r="B5197" s="25" t="s">
        <v>13139</v>
      </c>
      <c r="C5197" s="19"/>
      <c r="D5197" s="19"/>
      <c r="E5197" s="22"/>
      <c r="F5197" s="22"/>
      <c r="G5197" s="22"/>
    </row>
    <row r="5198" spans="1:7" ht="189" x14ac:dyDescent="0.15">
      <c r="A5198" s="19" t="s">
        <v>13131</v>
      </c>
      <c r="B5198" s="25" t="s">
        <v>13140</v>
      </c>
      <c r="C5198" s="19"/>
      <c r="D5198" s="19"/>
      <c r="E5198" s="22"/>
      <c r="F5198" s="22"/>
      <c r="G5198" s="22"/>
    </row>
    <row r="5199" spans="1:7" ht="27" x14ac:dyDescent="0.15">
      <c r="A5199" s="19" t="s">
        <v>13131</v>
      </c>
      <c r="B5199" s="25" t="s">
        <v>13141</v>
      </c>
      <c r="C5199" s="19"/>
      <c r="D5199" s="19"/>
      <c r="E5199" s="22"/>
      <c r="F5199" s="22"/>
      <c r="G5199" s="22"/>
    </row>
    <row r="5200" spans="1:7" ht="27" x14ac:dyDescent="0.15">
      <c r="A5200" s="19" t="s">
        <v>13131</v>
      </c>
      <c r="B5200" s="25" t="s">
        <v>13142</v>
      </c>
      <c r="C5200" s="19"/>
      <c r="D5200" s="19"/>
      <c r="E5200" s="22"/>
      <c r="F5200" s="22"/>
      <c r="G5200" s="22"/>
    </row>
    <row r="5201" spans="1:7" ht="270" x14ac:dyDescent="0.15">
      <c r="A5201" s="19" t="s">
        <v>13131</v>
      </c>
      <c r="B5201" s="25" t="s">
        <v>13143</v>
      </c>
      <c r="C5201" s="19"/>
      <c r="D5201" s="19"/>
      <c r="E5201" s="22"/>
      <c r="F5201" s="22"/>
      <c r="G5201" s="22"/>
    </row>
    <row r="5202" spans="1:7" ht="409.5" x14ac:dyDescent="0.15">
      <c r="A5202" s="19" t="s">
        <v>13131</v>
      </c>
      <c r="B5202" s="25" t="s">
        <v>13144</v>
      </c>
      <c r="C5202" s="19"/>
      <c r="D5202" s="19"/>
      <c r="E5202" s="22"/>
      <c r="F5202" s="22"/>
      <c r="G5202" s="22"/>
    </row>
    <row r="5203" spans="1:7" ht="162" x14ac:dyDescent="0.15">
      <c r="A5203" s="19" t="s">
        <v>13131</v>
      </c>
      <c r="B5203" s="25" t="s">
        <v>13145</v>
      </c>
      <c r="C5203" s="19"/>
      <c r="D5203" s="19"/>
      <c r="E5203" s="22"/>
      <c r="F5203" s="22"/>
      <c r="G5203" s="22"/>
    </row>
    <row r="5204" spans="1:7" ht="351" x14ac:dyDescent="0.15">
      <c r="A5204" s="19" t="s">
        <v>13131</v>
      </c>
      <c r="B5204" s="25" t="s">
        <v>13146</v>
      </c>
      <c r="C5204" s="19"/>
      <c r="D5204" s="19"/>
      <c r="E5204" s="22"/>
      <c r="F5204" s="22"/>
      <c r="G5204" s="22"/>
    </row>
    <row r="5205" spans="1:7" ht="54" x14ac:dyDescent="0.15">
      <c r="A5205" s="19" t="s">
        <v>13131</v>
      </c>
      <c r="B5205" s="25" t="s">
        <v>13147</v>
      </c>
      <c r="C5205" s="19"/>
      <c r="D5205" s="19"/>
      <c r="E5205" s="22"/>
      <c r="F5205" s="22"/>
      <c r="G5205" s="22"/>
    </row>
    <row r="5206" spans="1:7" ht="67.5" x14ac:dyDescent="0.15">
      <c r="A5206" s="19" t="s">
        <v>13131</v>
      </c>
      <c r="B5206" s="25" t="s">
        <v>13148</v>
      </c>
      <c r="C5206" s="19"/>
      <c r="D5206" s="19"/>
      <c r="E5206" s="22"/>
      <c r="F5206" s="22"/>
      <c r="G5206" s="22"/>
    </row>
    <row r="5207" spans="1:7" ht="135" x14ac:dyDescent="0.15">
      <c r="A5207" s="19" t="s">
        <v>13131</v>
      </c>
      <c r="B5207" s="25" t="s">
        <v>13149</v>
      </c>
      <c r="C5207" s="19"/>
      <c r="D5207" s="19"/>
      <c r="E5207" s="22"/>
      <c r="F5207" s="22"/>
      <c r="G5207" s="22"/>
    </row>
    <row r="5208" spans="1:7" ht="175.5" x14ac:dyDescent="0.15">
      <c r="A5208" s="19" t="s">
        <v>13131</v>
      </c>
      <c r="B5208" s="25" t="s">
        <v>13150</v>
      </c>
      <c r="C5208" s="19"/>
      <c r="D5208" s="19"/>
      <c r="E5208" s="22"/>
      <c r="F5208" s="22"/>
      <c r="G5208" s="22"/>
    </row>
    <row r="5209" spans="1:7" ht="216" x14ac:dyDescent="0.15">
      <c r="A5209" s="19" t="s">
        <v>13131</v>
      </c>
      <c r="B5209" s="25" t="s">
        <v>13151</v>
      </c>
      <c r="C5209" s="19"/>
      <c r="D5209" s="19"/>
      <c r="E5209" s="22"/>
      <c r="F5209" s="22"/>
      <c r="G5209" s="22"/>
    </row>
    <row r="5210" spans="1:7" ht="121.5" x14ac:dyDescent="0.15">
      <c r="A5210" s="19" t="s">
        <v>13131</v>
      </c>
      <c r="B5210" s="25" t="s">
        <v>13152</v>
      </c>
      <c r="C5210" s="19"/>
      <c r="D5210" s="19"/>
      <c r="E5210" s="22"/>
      <c r="F5210" s="22"/>
      <c r="G5210" s="22"/>
    </row>
    <row r="5211" spans="1:7" ht="40.5" x14ac:dyDescent="0.15">
      <c r="A5211" s="19" t="s">
        <v>13131</v>
      </c>
      <c r="B5211" s="25" t="s">
        <v>13153</v>
      </c>
      <c r="C5211" s="19"/>
      <c r="D5211" s="19"/>
      <c r="E5211" s="22"/>
      <c r="F5211" s="22"/>
      <c r="G5211" s="22"/>
    </row>
    <row r="5212" spans="1:7" ht="27" x14ac:dyDescent="0.15">
      <c r="A5212" s="19" t="s">
        <v>13131</v>
      </c>
      <c r="B5212" s="25" t="s">
        <v>13154</v>
      </c>
      <c r="C5212" s="19"/>
      <c r="D5212" s="19"/>
      <c r="E5212" s="22"/>
      <c r="F5212" s="22"/>
      <c r="G5212" s="22"/>
    </row>
    <row r="5213" spans="1:7" ht="27" x14ac:dyDescent="0.15">
      <c r="A5213" s="19" t="s">
        <v>13131</v>
      </c>
      <c r="B5213" s="25" t="s">
        <v>13155</v>
      </c>
      <c r="C5213" s="19"/>
      <c r="D5213" s="19"/>
      <c r="E5213" s="22"/>
      <c r="F5213" s="22"/>
      <c r="G5213" s="22"/>
    </row>
    <row r="5214" spans="1:7" ht="67.5" x14ac:dyDescent="0.15">
      <c r="A5214" s="19" t="s">
        <v>13131</v>
      </c>
      <c r="B5214" s="25" t="s">
        <v>13156</v>
      </c>
      <c r="C5214" s="19"/>
      <c r="D5214" s="19"/>
      <c r="E5214" s="22"/>
      <c r="F5214" s="22"/>
      <c r="G5214" s="22"/>
    </row>
    <row r="5215" spans="1:7" ht="67.5" x14ac:dyDescent="0.15">
      <c r="A5215" s="19" t="s">
        <v>13131</v>
      </c>
      <c r="B5215" s="25" t="s">
        <v>13157</v>
      </c>
      <c r="C5215" s="19"/>
      <c r="D5215" s="19"/>
      <c r="E5215" s="22"/>
      <c r="F5215" s="22"/>
      <c r="G5215" s="22"/>
    </row>
    <row r="5216" spans="1:7" ht="148.5" x14ac:dyDescent="0.15">
      <c r="A5216" s="19" t="s">
        <v>13131</v>
      </c>
      <c r="B5216" s="25" t="s">
        <v>13158</v>
      </c>
      <c r="C5216" s="19"/>
      <c r="D5216" s="19"/>
      <c r="E5216" s="22"/>
      <c r="F5216" s="22"/>
      <c r="G5216" s="22"/>
    </row>
    <row r="5217" spans="1:7" ht="40.5" x14ac:dyDescent="0.15">
      <c r="A5217" s="19" t="s">
        <v>13131</v>
      </c>
      <c r="B5217" s="25" t="s">
        <v>13159</v>
      </c>
      <c r="C5217" s="19"/>
      <c r="D5217" s="19"/>
      <c r="E5217" s="22"/>
      <c r="F5217" s="22"/>
      <c r="G5217" s="22"/>
    </row>
    <row r="5218" spans="1:7" ht="27" x14ac:dyDescent="0.15">
      <c r="A5218" s="19" t="s">
        <v>13131</v>
      </c>
      <c r="B5218" s="25" t="s">
        <v>13160</v>
      </c>
      <c r="C5218" s="19"/>
      <c r="D5218" s="19"/>
      <c r="E5218" s="22"/>
      <c r="F5218" s="22"/>
      <c r="G5218" s="22"/>
    </row>
    <row r="5219" spans="1:7" ht="337.5" x14ac:dyDescent="0.15">
      <c r="A5219" s="19" t="s">
        <v>13131</v>
      </c>
      <c r="B5219" s="25" t="s">
        <v>13161</v>
      </c>
      <c r="C5219" s="19"/>
      <c r="D5219" s="19"/>
      <c r="E5219" s="22"/>
      <c r="F5219" s="22"/>
      <c r="G5219" s="22"/>
    </row>
    <row r="5220" spans="1:7" ht="121.5" x14ac:dyDescent="0.15">
      <c r="A5220" s="19" t="s">
        <v>13131</v>
      </c>
      <c r="B5220" s="25" t="s">
        <v>13162</v>
      </c>
      <c r="C5220" s="19"/>
      <c r="D5220" s="19"/>
      <c r="E5220" s="22"/>
      <c r="F5220" s="22"/>
      <c r="G5220" s="22"/>
    </row>
    <row r="5221" spans="1:7" ht="270" x14ac:dyDescent="0.15">
      <c r="A5221" s="19" t="s">
        <v>13131</v>
      </c>
      <c r="B5221" s="25" t="s">
        <v>13163</v>
      </c>
      <c r="C5221" s="19"/>
      <c r="D5221" s="19"/>
      <c r="E5221" s="22"/>
      <c r="F5221" s="22"/>
      <c r="G5221" s="22"/>
    </row>
    <row r="5222" spans="1:7" ht="189" x14ac:dyDescent="0.15">
      <c r="A5222" s="19" t="s">
        <v>13131</v>
      </c>
      <c r="B5222" s="25" t="s">
        <v>13164</v>
      </c>
      <c r="C5222" s="19"/>
      <c r="D5222" s="19"/>
      <c r="E5222" s="22"/>
      <c r="F5222" s="22"/>
      <c r="G5222" s="22"/>
    </row>
    <row r="5223" spans="1:7" ht="351" x14ac:dyDescent="0.15">
      <c r="A5223" s="19" t="s">
        <v>13131</v>
      </c>
      <c r="B5223" s="25" t="s">
        <v>13165</v>
      </c>
      <c r="C5223" s="19"/>
      <c r="D5223" s="19"/>
      <c r="E5223" s="22"/>
      <c r="F5223" s="22"/>
      <c r="G5223" s="22"/>
    </row>
    <row r="5224" spans="1:7" ht="27" x14ac:dyDescent="0.15">
      <c r="A5224" s="19" t="s">
        <v>13131</v>
      </c>
      <c r="B5224" s="25" t="s">
        <v>13166</v>
      </c>
      <c r="C5224" s="19"/>
      <c r="D5224" s="19"/>
      <c r="E5224" s="22"/>
      <c r="F5224" s="22"/>
      <c r="G5224" s="22"/>
    </row>
    <row r="5225" spans="1:7" ht="81" x14ac:dyDescent="0.15">
      <c r="A5225" s="19" t="s">
        <v>13131</v>
      </c>
      <c r="B5225" s="25" t="s">
        <v>13167</v>
      </c>
      <c r="C5225" s="19"/>
      <c r="D5225" s="19"/>
      <c r="E5225" s="22"/>
      <c r="F5225" s="22"/>
      <c r="G5225" s="22"/>
    </row>
    <row r="5226" spans="1:7" ht="40.5" x14ac:dyDescent="0.15">
      <c r="A5226" s="19" t="s">
        <v>13131</v>
      </c>
      <c r="B5226" s="25" t="s">
        <v>13168</v>
      </c>
      <c r="C5226" s="19"/>
      <c r="D5226" s="19"/>
      <c r="E5226" s="22"/>
      <c r="F5226" s="22"/>
      <c r="G5226" s="22"/>
    </row>
    <row r="5227" spans="1:7" ht="40.5" x14ac:dyDescent="0.15">
      <c r="A5227" s="19" t="s">
        <v>13131</v>
      </c>
      <c r="B5227" s="25" t="s">
        <v>13169</v>
      </c>
      <c r="C5227" s="19"/>
      <c r="D5227" s="19"/>
      <c r="E5227" s="22"/>
      <c r="F5227" s="22"/>
      <c r="G5227" s="22"/>
    </row>
    <row r="5228" spans="1:7" ht="27" x14ac:dyDescent="0.15">
      <c r="A5228" s="19" t="s">
        <v>13131</v>
      </c>
      <c r="B5228" s="25" t="s">
        <v>13170</v>
      </c>
      <c r="C5228" s="19"/>
      <c r="D5228" s="19"/>
      <c r="E5228" s="22"/>
      <c r="F5228" s="22"/>
      <c r="G5228" s="22"/>
    </row>
    <row r="5229" spans="1:7" ht="54" x14ac:dyDescent="0.15">
      <c r="A5229" s="19" t="s">
        <v>13131</v>
      </c>
      <c r="B5229" s="25" t="s">
        <v>13171</v>
      </c>
      <c r="C5229" s="19"/>
      <c r="D5229" s="19"/>
      <c r="E5229" s="22"/>
      <c r="F5229" s="22"/>
      <c r="G5229" s="22"/>
    </row>
    <row r="5230" spans="1:7" ht="135" x14ac:dyDescent="0.15">
      <c r="A5230" s="19" t="s">
        <v>13131</v>
      </c>
      <c r="B5230" s="25" t="s">
        <v>13172</v>
      </c>
      <c r="C5230" s="19"/>
      <c r="D5230" s="19"/>
      <c r="E5230" s="22"/>
      <c r="F5230" s="22"/>
      <c r="G5230" s="22"/>
    </row>
    <row r="5231" spans="1:7" ht="54" x14ac:dyDescent="0.15">
      <c r="A5231" s="19" t="s">
        <v>13131</v>
      </c>
      <c r="B5231" s="25" t="s">
        <v>13173</v>
      </c>
      <c r="C5231" s="19"/>
      <c r="D5231" s="19"/>
      <c r="E5231" s="22"/>
      <c r="F5231" s="22"/>
      <c r="G5231" s="22"/>
    </row>
    <row r="5232" spans="1:7" ht="297" x14ac:dyDescent="0.15">
      <c r="A5232" s="19" t="s">
        <v>13131</v>
      </c>
      <c r="B5232" s="25" t="s">
        <v>13174</v>
      </c>
      <c r="C5232" s="19"/>
      <c r="D5232" s="19"/>
      <c r="E5232" s="22"/>
      <c r="F5232" s="22"/>
      <c r="G5232" s="22"/>
    </row>
    <row r="5233" spans="1:7" ht="27" x14ac:dyDescent="0.15">
      <c r="A5233" s="19" t="s">
        <v>13131</v>
      </c>
      <c r="B5233" s="25" t="s">
        <v>13175</v>
      </c>
      <c r="C5233" s="19"/>
      <c r="D5233" s="19"/>
      <c r="E5233" s="22"/>
      <c r="F5233" s="22"/>
      <c r="G5233" s="22"/>
    </row>
    <row r="5234" spans="1:7" ht="121.5" x14ac:dyDescent="0.15">
      <c r="A5234" s="19" t="s">
        <v>13131</v>
      </c>
      <c r="B5234" s="25" t="s">
        <v>13176</v>
      </c>
      <c r="C5234" s="19"/>
      <c r="D5234" s="19"/>
      <c r="E5234" s="22"/>
      <c r="F5234" s="22"/>
      <c r="G5234" s="22"/>
    </row>
    <row r="5235" spans="1:7" ht="202.5" x14ac:dyDescent="0.15">
      <c r="A5235" s="19" t="s">
        <v>13131</v>
      </c>
      <c r="B5235" s="25" t="s">
        <v>13177</v>
      </c>
      <c r="C5235" s="19"/>
      <c r="D5235" s="19"/>
      <c r="E5235" s="22"/>
      <c r="F5235" s="22"/>
      <c r="G5235" s="22"/>
    </row>
    <row r="5236" spans="1:7" ht="81" x14ac:dyDescent="0.15">
      <c r="A5236" s="19" t="s">
        <v>13131</v>
      </c>
      <c r="B5236" s="25" t="s">
        <v>13178</v>
      </c>
      <c r="C5236" s="19"/>
      <c r="D5236" s="19"/>
      <c r="E5236" s="22"/>
      <c r="F5236" s="22"/>
      <c r="G5236" s="22"/>
    </row>
    <row r="5237" spans="1:7" ht="40.5" x14ac:dyDescent="0.15">
      <c r="A5237" s="19" t="s">
        <v>13131</v>
      </c>
      <c r="B5237" s="25" t="s">
        <v>13179</v>
      </c>
      <c r="C5237" s="19"/>
      <c r="D5237" s="19"/>
      <c r="E5237" s="22"/>
      <c r="F5237" s="22"/>
      <c r="G5237" s="22"/>
    </row>
    <row r="5238" spans="1:7" ht="27" x14ac:dyDescent="0.15">
      <c r="A5238" s="19" t="s">
        <v>13131</v>
      </c>
      <c r="B5238" s="25" t="s">
        <v>13180</v>
      </c>
      <c r="C5238" s="19"/>
      <c r="D5238" s="19"/>
      <c r="E5238" s="22"/>
      <c r="F5238" s="22"/>
      <c r="G5238" s="22"/>
    </row>
    <row r="5239" spans="1:7" ht="40.5" x14ac:dyDescent="0.15">
      <c r="A5239" s="19" t="s">
        <v>13131</v>
      </c>
      <c r="B5239" s="25" t="s">
        <v>13181</v>
      </c>
      <c r="C5239" s="19"/>
      <c r="D5239" s="19"/>
      <c r="E5239" s="22"/>
      <c r="F5239" s="22"/>
      <c r="G5239" s="22"/>
    </row>
    <row r="5240" spans="1:7" ht="27" x14ac:dyDescent="0.15">
      <c r="A5240" s="19" t="s">
        <v>13131</v>
      </c>
      <c r="B5240" s="25" t="s">
        <v>13182</v>
      </c>
      <c r="C5240" s="19"/>
      <c r="D5240" s="19"/>
      <c r="E5240" s="22"/>
      <c r="F5240" s="22"/>
      <c r="G5240" s="22"/>
    </row>
    <row r="5241" spans="1:7" ht="40.5" x14ac:dyDescent="0.15">
      <c r="A5241" s="19" t="s">
        <v>13131</v>
      </c>
      <c r="B5241" s="25" t="s">
        <v>13183</v>
      </c>
      <c r="C5241" s="19"/>
      <c r="D5241" s="19"/>
      <c r="E5241" s="22"/>
      <c r="F5241" s="22"/>
      <c r="G5241" s="22"/>
    </row>
    <row r="5242" spans="1:7" ht="27" x14ac:dyDescent="0.15">
      <c r="A5242" s="19" t="s">
        <v>13131</v>
      </c>
      <c r="B5242" s="25" t="s">
        <v>13184</v>
      </c>
      <c r="C5242" s="19"/>
      <c r="D5242" s="19"/>
      <c r="E5242" s="22"/>
      <c r="F5242" s="22"/>
      <c r="G5242" s="22"/>
    </row>
    <row r="5243" spans="1:7" ht="27" x14ac:dyDescent="0.15">
      <c r="A5243" s="19" t="s">
        <v>13131</v>
      </c>
      <c r="B5243" s="25" t="s">
        <v>13185</v>
      </c>
      <c r="C5243" s="19"/>
      <c r="D5243" s="19"/>
      <c r="E5243" s="22"/>
      <c r="F5243" s="22"/>
      <c r="G5243" s="22"/>
    </row>
    <row r="5244" spans="1:7" ht="67.5" x14ac:dyDescent="0.15">
      <c r="A5244" s="19" t="s">
        <v>13131</v>
      </c>
      <c r="B5244" s="25" t="s">
        <v>13186</v>
      </c>
      <c r="C5244" s="19"/>
      <c r="D5244" s="19"/>
      <c r="E5244" s="22"/>
      <c r="F5244" s="22"/>
      <c r="G5244" s="22"/>
    </row>
    <row r="5245" spans="1:7" ht="54" x14ac:dyDescent="0.15">
      <c r="A5245" s="19" t="s">
        <v>13131</v>
      </c>
      <c r="B5245" s="25" t="s">
        <v>13187</v>
      </c>
      <c r="C5245" s="19"/>
      <c r="D5245" s="19"/>
      <c r="E5245" s="22"/>
      <c r="F5245" s="22"/>
      <c r="G5245" s="22"/>
    </row>
    <row r="5246" spans="1:7" ht="54" x14ac:dyDescent="0.15">
      <c r="A5246" s="19" t="s">
        <v>13131</v>
      </c>
      <c r="B5246" s="25" t="s">
        <v>13188</v>
      </c>
      <c r="C5246" s="19"/>
      <c r="D5246" s="19"/>
      <c r="E5246" s="22"/>
      <c r="F5246" s="22"/>
      <c r="G5246" s="22"/>
    </row>
    <row r="5247" spans="1:7" ht="148.5" x14ac:dyDescent="0.15">
      <c r="A5247" s="19" t="s">
        <v>13131</v>
      </c>
      <c r="B5247" s="25" t="s">
        <v>13189</v>
      </c>
      <c r="C5247" s="19"/>
      <c r="D5247" s="19"/>
      <c r="E5247" s="22"/>
      <c r="F5247" s="22"/>
      <c r="G5247" s="22"/>
    </row>
    <row r="5248" spans="1:7" ht="81" x14ac:dyDescent="0.15">
      <c r="A5248" s="19" t="s">
        <v>13131</v>
      </c>
      <c r="B5248" s="25" t="s">
        <v>13190</v>
      </c>
      <c r="C5248" s="19"/>
      <c r="D5248" s="19"/>
      <c r="E5248" s="22"/>
      <c r="F5248" s="22"/>
      <c r="G5248" s="22"/>
    </row>
    <row r="5249" spans="1:7" ht="108" x14ac:dyDescent="0.15">
      <c r="A5249" s="19" t="s">
        <v>13131</v>
      </c>
      <c r="B5249" s="25" t="s">
        <v>13191</v>
      </c>
      <c r="C5249" s="19"/>
      <c r="D5249" s="19"/>
      <c r="E5249" s="22"/>
      <c r="F5249" s="22"/>
      <c r="G5249" s="22"/>
    </row>
    <row r="5250" spans="1:7" ht="27" x14ac:dyDescent="0.15">
      <c r="A5250" s="19" t="s">
        <v>13131</v>
      </c>
      <c r="B5250" s="25" t="s">
        <v>13192</v>
      </c>
      <c r="C5250" s="19"/>
      <c r="D5250" s="19"/>
      <c r="E5250" s="22"/>
      <c r="F5250" s="22"/>
      <c r="G5250" s="22"/>
    </row>
    <row r="5251" spans="1:7" ht="67.5" x14ac:dyDescent="0.15">
      <c r="A5251" s="19" t="s">
        <v>13131</v>
      </c>
      <c r="B5251" s="25" t="s">
        <v>13193</v>
      </c>
      <c r="C5251" s="19"/>
      <c r="D5251" s="19"/>
      <c r="E5251" s="22"/>
      <c r="F5251" s="22"/>
      <c r="G5251" s="22"/>
    </row>
    <row r="5252" spans="1:7" ht="135" x14ac:dyDescent="0.15">
      <c r="A5252" s="19" t="s">
        <v>13131</v>
      </c>
      <c r="B5252" s="25" t="s">
        <v>13194</v>
      </c>
      <c r="C5252" s="19"/>
      <c r="D5252" s="19"/>
      <c r="E5252" s="22"/>
      <c r="F5252" s="22"/>
      <c r="G5252" s="22"/>
    </row>
    <row r="5253" spans="1:7" ht="40.5" x14ac:dyDescent="0.15">
      <c r="A5253" s="19" t="s">
        <v>13131</v>
      </c>
      <c r="B5253" s="25" t="s">
        <v>13195</v>
      </c>
      <c r="C5253" s="19"/>
      <c r="D5253" s="19"/>
      <c r="E5253" s="22"/>
      <c r="F5253" s="22"/>
      <c r="G5253" s="22"/>
    </row>
    <row r="5254" spans="1:7" ht="27" x14ac:dyDescent="0.15">
      <c r="A5254" s="19" t="s">
        <v>13131</v>
      </c>
      <c r="B5254" s="25" t="s">
        <v>13196</v>
      </c>
      <c r="C5254" s="19"/>
      <c r="D5254" s="19"/>
      <c r="E5254" s="22"/>
      <c r="F5254" s="22"/>
      <c r="G5254" s="22"/>
    </row>
    <row r="5255" spans="1:7" ht="27" x14ac:dyDescent="0.15">
      <c r="A5255" s="19" t="s">
        <v>13131</v>
      </c>
      <c r="B5255" s="25" t="s">
        <v>13197</v>
      </c>
      <c r="C5255" s="19"/>
      <c r="D5255" s="19"/>
      <c r="E5255" s="22"/>
      <c r="F5255" s="22"/>
      <c r="G5255" s="22"/>
    </row>
    <row r="5256" spans="1:7" ht="189" x14ac:dyDescent="0.15">
      <c r="A5256" s="19" t="s">
        <v>13131</v>
      </c>
      <c r="B5256" s="25" t="s">
        <v>13198</v>
      </c>
      <c r="C5256" s="19"/>
      <c r="D5256" s="19"/>
      <c r="E5256" s="22"/>
      <c r="F5256" s="22"/>
      <c r="G5256" s="22"/>
    </row>
    <row r="5257" spans="1:7" ht="40.5" x14ac:dyDescent="0.15">
      <c r="A5257" s="19" t="s">
        <v>13131</v>
      </c>
      <c r="B5257" s="25" t="s">
        <v>13199</v>
      </c>
      <c r="C5257" s="19"/>
      <c r="D5257" s="19"/>
      <c r="E5257" s="22"/>
      <c r="F5257" s="22"/>
      <c r="G5257" s="22"/>
    </row>
    <row r="5258" spans="1:7" ht="40.5" x14ac:dyDescent="0.15">
      <c r="A5258" s="19" t="s">
        <v>13131</v>
      </c>
      <c r="B5258" s="25" t="s">
        <v>13200</v>
      </c>
      <c r="C5258" s="19"/>
      <c r="D5258" s="19"/>
      <c r="E5258" s="22"/>
      <c r="F5258" s="22"/>
      <c r="G5258" s="22"/>
    </row>
    <row r="5259" spans="1:7" ht="40.5" x14ac:dyDescent="0.15">
      <c r="A5259" s="19" t="s">
        <v>13131</v>
      </c>
      <c r="B5259" s="25" t="s">
        <v>13201</v>
      </c>
      <c r="C5259" s="19"/>
      <c r="D5259" s="19"/>
      <c r="E5259" s="22"/>
      <c r="F5259" s="22"/>
      <c r="G5259" s="22"/>
    </row>
    <row r="5260" spans="1:7" ht="148.5" x14ac:dyDescent="0.15">
      <c r="A5260" s="19" t="s">
        <v>13131</v>
      </c>
      <c r="B5260" s="25" t="s">
        <v>13202</v>
      </c>
      <c r="C5260" s="19"/>
      <c r="D5260" s="19"/>
      <c r="E5260" s="22"/>
      <c r="F5260" s="22"/>
      <c r="G5260" s="22"/>
    </row>
    <row r="5261" spans="1:7" ht="351" x14ac:dyDescent="0.15">
      <c r="A5261" s="19" t="s">
        <v>13131</v>
      </c>
      <c r="B5261" s="25" t="s">
        <v>13203</v>
      </c>
      <c r="C5261" s="19"/>
      <c r="D5261" s="19"/>
      <c r="E5261" s="22"/>
      <c r="F5261" s="22"/>
      <c r="G5261" s="22"/>
    </row>
    <row r="5262" spans="1:7" ht="27" x14ac:dyDescent="0.15">
      <c r="A5262" s="19" t="s">
        <v>13131</v>
      </c>
      <c r="B5262" s="25" t="s">
        <v>13204</v>
      </c>
      <c r="C5262" s="19"/>
      <c r="D5262" s="19"/>
      <c r="E5262" s="22"/>
      <c r="F5262" s="22"/>
      <c r="G5262" s="22"/>
    </row>
    <row r="5263" spans="1:7" x14ac:dyDescent="0.15">
      <c r="A5263" s="46" t="s">
        <v>13205</v>
      </c>
      <c r="B5263" s="46" t="s">
        <v>13206</v>
      </c>
      <c r="C5263" s="19"/>
      <c r="D5263" s="19"/>
      <c r="E5263" s="22"/>
      <c r="F5263" s="22"/>
      <c r="G5263" s="22"/>
    </row>
    <row r="5264" spans="1:7" x14ac:dyDescent="0.15">
      <c r="A5264" s="46" t="s">
        <v>13207</v>
      </c>
      <c r="B5264" s="46" t="s">
        <v>13208</v>
      </c>
      <c r="C5264" s="19"/>
      <c r="D5264" s="19"/>
      <c r="E5264" s="22"/>
      <c r="F5264" s="22"/>
      <c r="G5264" s="22"/>
    </row>
    <row r="5265" spans="1:7" x14ac:dyDescent="0.15">
      <c r="A5265" s="46" t="s">
        <v>13207</v>
      </c>
      <c r="B5265" s="46" t="s">
        <v>13209</v>
      </c>
      <c r="C5265" s="19"/>
      <c r="D5265" s="19"/>
      <c r="E5265" s="22"/>
      <c r="F5265" s="22"/>
      <c r="G5265" s="22"/>
    </row>
    <row r="5266" spans="1:7" x14ac:dyDescent="0.15">
      <c r="A5266" s="19" t="s">
        <v>13207</v>
      </c>
      <c r="B5266" s="19" t="s">
        <v>13210</v>
      </c>
      <c r="C5266" s="19">
        <v>14</v>
      </c>
      <c r="D5266" s="47" t="str">
        <f>HYPERLINK("https://dl.ndl.go.jp/pid/907861/1/14")</f>
        <v>https://dl.ndl.go.jp/pid/907861/1/14</v>
      </c>
      <c r="E5266" s="22"/>
      <c r="F5266" s="22"/>
      <c r="G5266" s="22"/>
    </row>
    <row r="5267" spans="1:7" x14ac:dyDescent="0.15">
      <c r="A5267" s="19" t="s">
        <v>13207</v>
      </c>
      <c r="B5267" s="19" t="s">
        <v>13211</v>
      </c>
      <c r="C5267" s="19">
        <v>14</v>
      </c>
      <c r="D5267" s="47" t="str">
        <f>HYPERLINK("https://dl.ndl.go.jp/pid/907861/1/14")</f>
        <v>https://dl.ndl.go.jp/pid/907861/1/14</v>
      </c>
      <c r="E5267" s="22"/>
      <c r="F5267" s="22"/>
      <c r="G5267" s="22"/>
    </row>
    <row r="5268" spans="1:7" x14ac:dyDescent="0.15">
      <c r="A5268" s="19" t="s">
        <v>13207</v>
      </c>
      <c r="B5268" s="19" t="s">
        <v>6012</v>
      </c>
      <c r="C5268" s="19">
        <v>15</v>
      </c>
      <c r="D5268" s="47" t="str">
        <f>HYPERLINK("https://dl.ndl.go.jp/pid/907861/1/15")</f>
        <v>https://dl.ndl.go.jp/pid/907861/1/15</v>
      </c>
      <c r="E5268" s="22"/>
      <c r="F5268" s="22"/>
      <c r="G5268" s="22"/>
    </row>
    <row r="5269" spans="1:7" x14ac:dyDescent="0.15">
      <c r="A5269" s="19" t="s">
        <v>13207</v>
      </c>
      <c r="B5269" s="19" t="s">
        <v>13212</v>
      </c>
      <c r="C5269" s="19">
        <v>15</v>
      </c>
      <c r="D5269" s="47" t="str">
        <f>HYPERLINK("https://dl.ndl.go.jp/pid/907861/1/15")</f>
        <v>https://dl.ndl.go.jp/pid/907861/1/15</v>
      </c>
      <c r="E5269" s="22"/>
      <c r="F5269" s="22"/>
      <c r="G5269" s="22"/>
    </row>
    <row r="5270" spans="1:7" x14ac:dyDescent="0.15">
      <c r="A5270" s="19" t="s">
        <v>13207</v>
      </c>
      <c r="B5270" s="19" t="s">
        <v>13213</v>
      </c>
      <c r="C5270" s="19">
        <v>15</v>
      </c>
      <c r="D5270" s="47" t="str">
        <f>HYPERLINK("https://dl.ndl.go.jp/pid/907861/1/15")</f>
        <v>https://dl.ndl.go.jp/pid/907861/1/15</v>
      </c>
      <c r="E5270" s="22"/>
      <c r="F5270" s="22"/>
      <c r="G5270" s="22"/>
    </row>
    <row r="5271" spans="1:7" x14ac:dyDescent="0.15">
      <c r="A5271" s="19" t="s">
        <v>13207</v>
      </c>
      <c r="B5271" s="19" t="s">
        <v>13214</v>
      </c>
      <c r="C5271" s="19">
        <v>16</v>
      </c>
      <c r="D5271" s="47" t="str">
        <f>HYPERLINK("https://dl.ndl.go.jp/pid/907861/1/16")</f>
        <v>https://dl.ndl.go.jp/pid/907861/1/16</v>
      </c>
      <c r="E5271" s="22"/>
      <c r="F5271" s="22"/>
      <c r="G5271" s="22"/>
    </row>
    <row r="5272" spans="1:7" x14ac:dyDescent="0.15">
      <c r="A5272" s="19" t="s">
        <v>13207</v>
      </c>
      <c r="B5272" s="19" t="s">
        <v>13215</v>
      </c>
      <c r="C5272" s="19">
        <v>16</v>
      </c>
      <c r="D5272" s="47" t="str">
        <f>HYPERLINK("https://dl.ndl.go.jp/pid/907861/1/16")</f>
        <v>https://dl.ndl.go.jp/pid/907861/1/16</v>
      </c>
      <c r="E5272" s="22"/>
      <c r="F5272" s="22"/>
      <c r="G5272" s="22"/>
    </row>
    <row r="5273" spans="1:7" x14ac:dyDescent="0.15">
      <c r="A5273" s="19" t="s">
        <v>13207</v>
      </c>
      <c r="B5273" s="19" t="s">
        <v>13216</v>
      </c>
      <c r="C5273" s="19">
        <v>16</v>
      </c>
      <c r="D5273" s="47" t="str">
        <f>HYPERLINK("https://dl.ndl.go.jp/pid/907861/1/16")</f>
        <v>https://dl.ndl.go.jp/pid/907861/1/16</v>
      </c>
      <c r="E5273" s="22"/>
      <c r="F5273" s="22"/>
      <c r="G5273" s="22"/>
    </row>
    <row r="5274" spans="1:7" x14ac:dyDescent="0.15">
      <c r="A5274" s="19" t="s">
        <v>13207</v>
      </c>
      <c r="B5274" s="19" t="s">
        <v>13217</v>
      </c>
      <c r="C5274" s="19">
        <v>16</v>
      </c>
      <c r="D5274" s="47" t="str">
        <f>HYPERLINK("https://dl.ndl.go.jp/pid/907861/1/16")</f>
        <v>https://dl.ndl.go.jp/pid/907861/1/16</v>
      </c>
      <c r="E5274" s="22"/>
      <c r="F5274" s="22"/>
      <c r="G5274" s="22"/>
    </row>
    <row r="5275" spans="1:7" x14ac:dyDescent="0.15">
      <c r="A5275" s="19" t="s">
        <v>13207</v>
      </c>
      <c r="B5275" s="19" t="s">
        <v>13218</v>
      </c>
      <c r="C5275" s="19">
        <v>17</v>
      </c>
      <c r="D5275" s="47" t="str">
        <f>HYPERLINK("https://dl.ndl.go.jp/pid/907861/1/17")</f>
        <v>https://dl.ndl.go.jp/pid/907861/1/17</v>
      </c>
      <c r="E5275" s="22"/>
      <c r="F5275" s="22"/>
      <c r="G5275" s="22"/>
    </row>
    <row r="5276" spans="1:7" x14ac:dyDescent="0.15">
      <c r="A5276" s="19" t="s">
        <v>13207</v>
      </c>
      <c r="B5276" s="19" t="s">
        <v>13219</v>
      </c>
      <c r="C5276" s="19">
        <v>17</v>
      </c>
      <c r="D5276" s="47" t="str">
        <f>HYPERLINK("https://dl.ndl.go.jp/pid/907861/1/17")</f>
        <v>https://dl.ndl.go.jp/pid/907861/1/17</v>
      </c>
      <c r="E5276" s="22"/>
      <c r="F5276" s="22"/>
      <c r="G5276" s="22"/>
    </row>
    <row r="5277" spans="1:7" x14ac:dyDescent="0.15">
      <c r="A5277" s="19" t="s">
        <v>13207</v>
      </c>
      <c r="B5277" s="19" t="s">
        <v>13220</v>
      </c>
      <c r="C5277" s="19">
        <v>17</v>
      </c>
      <c r="D5277" s="47" t="str">
        <f>HYPERLINK("https://dl.ndl.go.jp/pid/907861/1/17")</f>
        <v>https://dl.ndl.go.jp/pid/907861/1/17</v>
      </c>
      <c r="E5277" s="22"/>
      <c r="F5277" s="22"/>
      <c r="G5277" s="22"/>
    </row>
    <row r="5278" spans="1:7" x14ac:dyDescent="0.15">
      <c r="A5278" s="19" t="s">
        <v>13207</v>
      </c>
      <c r="B5278" s="19" t="s">
        <v>13221</v>
      </c>
      <c r="C5278" s="19">
        <v>18</v>
      </c>
      <c r="D5278" s="47" t="str">
        <f>HYPERLINK("https://dl.ndl.go.jp/pid/907861/1/18")</f>
        <v>https://dl.ndl.go.jp/pid/907861/1/18</v>
      </c>
      <c r="E5278" s="22"/>
      <c r="F5278" s="22"/>
      <c r="G5278" s="22"/>
    </row>
    <row r="5279" spans="1:7" x14ac:dyDescent="0.15">
      <c r="A5279" s="19" t="s">
        <v>13207</v>
      </c>
      <c r="B5279" s="19" t="s">
        <v>13222</v>
      </c>
      <c r="C5279" s="19">
        <v>18</v>
      </c>
      <c r="D5279" s="47" t="str">
        <f>HYPERLINK("https://dl.ndl.go.jp/pid/907861/1/18")</f>
        <v>https://dl.ndl.go.jp/pid/907861/1/18</v>
      </c>
      <c r="E5279" s="22"/>
      <c r="F5279" s="22"/>
      <c r="G5279" s="22"/>
    </row>
    <row r="5280" spans="1:7" x14ac:dyDescent="0.15">
      <c r="A5280" s="19" t="s">
        <v>13207</v>
      </c>
      <c r="B5280" s="19" t="s">
        <v>13223</v>
      </c>
      <c r="C5280" s="19">
        <v>19</v>
      </c>
      <c r="D5280" s="47" t="str">
        <f>HYPERLINK("https://dl.ndl.go.jp/pid/907861/1/19")</f>
        <v>https://dl.ndl.go.jp/pid/907861/1/19</v>
      </c>
      <c r="E5280" s="22"/>
      <c r="F5280" s="22"/>
      <c r="G5280" s="22"/>
    </row>
    <row r="5281" spans="1:7" x14ac:dyDescent="0.15">
      <c r="A5281" s="19" t="s">
        <v>13207</v>
      </c>
      <c r="B5281" s="19" t="s">
        <v>7080</v>
      </c>
      <c r="C5281" s="19">
        <v>19</v>
      </c>
      <c r="D5281" s="47" t="str">
        <f>HYPERLINK("https://dl.ndl.go.jp/pid/907861/1/19")</f>
        <v>https://dl.ndl.go.jp/pid/907861/1/19</v>
      </c>
      <c r="E5281" s="22"/>
      <c r="F5281" s="22"/>
      <c r="G5281" s="22"/>
    </row>
    <row r="5282" spans="1:7" x14ac:dyDescent="0.15">
      <c r="A5282" s="19" t="s">
        <v>13207</v>
      </c>
      <c r="B5282" s="19" t="s">
        <v>13224</v>
      </c>
      <c r="C5282" s="19">
        <v>20</v>
      </c>
      <c r="D5282" s="47" t="str">
        <f>HYPERLINK("https://dl.ndl.go.jp/pid/907861/1/20")</f>
        <v>https://dl.ndl.go.jp/pid/907861/1/20</v>
      </c>
      <c r="E5282" s="22"/>
      <c r="F5282" s="22"/>
      <c r="G5282" s="22"/>
    </row>
    <row r="5283" spans="1:7" x14ac:dyDescent="0.15">
      <c r="A5283" s="19" t="s">
        <v>13207</v>
      </c>
      <c r="B5283" s="19" t="s">
        <v>13225</v>
      </c>
      <c r="C5283" s="19">
        <v>20</v>
      </c>
      <c r="D5283" s="47" t="str">
        <f>HYPERLINK("https://dl.ndl.go.jp/pid/907861/1/20")</f>
        <v>https://dl.ndl.go.jp/pid/907861/1/20</v>
      </c>
      <c r="E5283" s="22"/>
      <c r="F5283" s="22"/>
      <c r="G5283" s="22"/>
    </row>
    <row r="5284" spans="1:7" x14ac:dyDescent="0.15">
      <c r="A5284" s="19" t="s">
        <v>13207</v>
      </c>
      <c r="B5284" s="19" t="s">
        <v>13226</v>
      </c>
      <c r="C5284" s="19">
        <v>20</v>
      </c>
      <c r="D5284" s="47" t="str">
        <f>HYPERLINK("https://dl.ndl.go.jp/pid/907861/1/20")</f>
        <v>https://dl.ndl.go.jp/pid/907861/1/20</v>
      </c>
      <c r="E5284" s="22"/>
      <c r="F5284" s="22"/>
      <c r="G5284" s="22"/>
    </row>
    <row r="5285" spans="1:7" x14ac:dyDescent="0.15">
      <c r="A5285" s="19" t="s">
        <v>13207</v>
      </c>
      <c r="B5285" s="19" t="s">
        <v>13227</v>
      </c>
      <c r="C5285" s="19">
        <v>20</v>
      </c>
      <c r="D5285" s="47" t="str">
        <f>HYPERLINK("https://dl.ndl.go.jp/pid/907861/1/20")</f>
        <v>https://dl.ndl.go.jp/pid/907861/1/20</v>
      </c>
      <c r="E5285" s="22"/>
      <c r="F5285" s="22"/>
      <c r="G5285" s="22"/>
    </row>
    <row r="5286" spans="1:7" x14ac:dyDescent="0.15">
      <c r="A5286" s="19" t="s">
        <v>13207</v>
      </c>
      <c r="B5286" s="19" t="s">
        <v>13228</v>
      </c>
      <c r="C5286" s="19">
        <v>21</v>
      </c>
      <c r="D5286" s="47" t="str">
        <f>HYPERLINK("https://dl.ndl.go.jp/pid/907861/1/21")</f>
        <v>https://dl.ndl.go.jp/pid/907861/1/21</v>
      </c>
      <c r="E5286" s="22"/>
      <c r="F5286" s="22"/>
      <c r="G5286" s="22"/>
    </row>
    <row r="5287" spans="1:7" x14ac:dyDescent="0.15">
      <c r="A5287" s="19" t="s">
        <v>13207</v>
      </c>
      <c r="B5287" s="19" t="s">
        <v>6056</v>
      </c>
      <c r="C5287" s="19">
        <v>21</v>
      </c>
      <c r="D5287" s="47" t="str">
        <f>HYPERLINK("https://dl.ndl.go.jp/pid/907861/1/21")</f>
        <v>https://dl.ndl.go.jp/pid/907861/1/21</v>
      </c>
      <c r="E5287" s="22"/>
      <c r="F5287" s="22"/>
      <c r="G5287" s="22"/>
    </row>
    <row r="5288" spans="1:7" x14ac:dyDescent="0.15">
      <c r="A5288" s="19" t="s">
        <v>13207</v>
      </c>
      <c r="B5288" s="19" t="s">
        <v>13229</v>
      </c>
      <c r="C5288" s="19">
        <v>21</v>
      </c>
      <c r="D5288" s="47" t="str">
        <f>HYPERLINK("https://dl.ndl.go.jp/pid/907861/1/21")</f>
        <v>https://dl.ndl.go.jp/pid/907861/1/21</v>
      </c>
      <c r="E5288" s="22"/>
      <c r="F5288" s="22"/>
      <c r="G5288" s="22"/>
    </row>
    <row r="5289" spans="1:7" x14ac:dyDescent="0.15">
      <c r="A5289" s="19" t="s">
        <v>13207</v>
      </c>
      <c r="B5289" s="19" t="s">
        <v>13230</v>
      </c>
      <c r="C5289" s="19">
        <v>21</v>
      </c>
      <c r="D5289" s="47" t="str">
        <f>HYPERLINK("https://dl.ndl.go.jp/pid/907861/1/21")</f>
        <v>https://dl.ndl.go.jp/pid/907861/1/21</v>
      </c>
      <c r="E5289" s="22"/>
      <c r="F5289" s="22"/>
      <c r="G5289" s="22"/>
    </row>
    <row r="5290" spans="1:7" x14ac:dyDescent="0.15">
      <c r="A5290" s="19" t="s">
        <v>13207</v>
      </c>
      <c r="B5290" s="19" t="s">
        <v>13231</v>
      </c>
      <c r="C5290" s="19">
        <v>22</v>
      </c>
      <c r="D5290" s="47" t="str">
        <f>HYPERLINK("https://dl.ndl.go.jp/pid/907861/1/22")</f>
        <v>https://dl.ndl.go.jp/pid/907861/1/22</v>
      </c>
      <c r="E5290" s="22"/>
      <c r="F5290" s="22"/>
      <c r="G5290" s="22"/>
    </row>
    <row r="5291" spans="1:7" x14ac:dyDescent="0.15">
      <c r="A5291" s="19" t="s">
        <v>13207</v>
      </c>
      <c r="B5291" s="19" t="s">
        <v>13232</v>
      </c>
      <c r="C5291" s="19">
        <v>22</v>
      </c>
      <c r="D5291" s="47" t="str">
        <f>HYPERLINK("https://dl.ndl.go.jp/pid/907861/1/22")</f>
        <v>https://dl.ndl.go.jp/pid/907861/1/22</v>
      </c>
      <c r="E5291" s="22"/>
      <c r="F5291" s="22"/>
      <c r="G5291" s="22"/>
    </row>
    <row r="5292" spans="1:7" x14ac:dyDescent="0.15">
      <c r="A5292" s="19" t="s">
        <v>13207</v>
      </c>
      <c r="B5292" s="19" t="s">
        <v>13233</v>
      </c>
      <c r="C5292" s="19">
        <v>22</v>
      </c>
      <c r="D5292" s="47" t="str">
        <f>HYPERLINK("https://dl.ndl.go.jp/pid/907861/1/22")</f>
        <v>https://dl.ndl.go.jp/pid/907861/1/22</v>
      </c>
      <c r="E5292" s="22"/>
      <c r="F5292" s="22"/>
      <c r="G5292" s="22"/>
    </row>
    <row r="5293" spans="1:7" x14ac:dyDescent="0.15">
      <c r="A5293" s="19" t="s">
        <v>13207</v>
      </c>
      <c r="B5293" s="19" t="s">
        <v>13234</v>
      </c>
      <c r="C5293" s="19">
        <v>22</v>
      </c>
      <c r="D5293" s="47" t="str">
        <f>HYPERLINK("https://dl.ndl.go.jp/pid/907861/1/22")</f>
        <v>https://dl.ndl.go.jp/pid/907861/1/22</v>
      </c>
      <c r="E5293" s="22"/>
      <c r="F5293" s="22"/>
      <c r="G5293" s="22"/>
    </row>
    <row r="5294" spans="1:7" x14ac:dyDescent="0.15">
      <c r="A5294" s="19" t="s">
        <v>13207</v>
      </c>
      <c r="B5294" s="19" t="s">
        <v>13235</v>
      </c>
      <c r="C5294" s="19">
        <v>23</v>
      </c>
      <c r="D5294" s="47" t="str">
        <f>HYPERLINK("https://dl.ndl.go.jp/pid/907861/1/23")</f>
        <v>https://dl.ndl.go.jp/pid/907861/1/23</v>
      </c>
      <c r="E5294" s="22"/>
      <c r="F5294" s="22"/>
      <c r="G5294" s="22"/>
    </row>
    <row r="5295" spans="1:7" x14ac:dyDescent="0.15">
      <c r="A5295" s="19" t="s">
        <v>13207</v>
      </c>
      <c r="B5295" s="19" t="s">
        <v>13236</v>
      </c>
      <c r="C5295" s="19">
        <v>23</v>
      </c>
      <c r="D5295" s="47" t="str">
        <f>HYPERLINK("https://dl.ndl.go.jp/pid/907861/1/23")</f>
        <v>https://dl.ndl.go.jp/pid/907861/1/23</v>
      </c>
      <c r="E5295" s="22"/>
      <c r="F5295" s="22"/>
      <c r="G5295" s="22"/>
    </row>
    <row r="5296" spans="1:7" x14ac:dyDescent="0.15">
      <c r="A5296" s="19" t="s">
        <v>13207</v>
      </c>
      <c r="B5296" s="19" t="s">
        <v>13237</v>
      </c>
      <c r="C5296" s="19">
        <v>23</v>
      </c>
      <c r="D5296" s="47" t="str">
        <f>HYPERLINK("https://dl.ndl.go.jp/pid/907861/1/23")</f>
        <v>https://dl.ndl.go.jp/pid/907861/1/23</v>
      </c>
      <c r="E5296" s="22"/>
      <c r="F5296" s="22"/>
      <c r="G5296" s="22"/>
    </row>
    <row r="5297" spans="1:7" x14ac:dyDescent="0.15">
      <c r="A5297" s="19" t="s">
        <v>13207</v>
      </c>
      <c r="B5297" s="19" t="s">
        <v>13238</v>
      </c>
      <c r="C5297" s="19">
        <v>24</v>
      </c>
      <c r="D5297" s="47" t="str">
        <f>HYPERLINK("https://dl.ndl.go.jp/pid/907861/1/24")</f>
        <v>https://dl.ndl.go.jp/pid/907861/1/24</v>
      </c>
      <c r="E5297" s="22"/>
      <c r="F5297" s="22"/>
      <c r="G5297" s="22"/>
    </row>
    <row r="5298" spans="1:7" x14ac:dyDescent="0.15">
      <c r="A5298" s="19" t="s">
        <v>13207</v>
      </c>
      <c r="B5298" s="19" t="s">
        <v>13239</v>
      </c>
      <c r="C5298" s="19">
        <v>24</v>
      </c>
      <c r="D5298" s="47" t="str">
        <f>HYPERLINK("https://dl.ndl.go.jp/pid/907861/1/24")</f>
        <v>https://dl.ndl.go.jp/pid/907861/1/24</v>
      </c>
      <c r="E5298" s="22"/>
      <c r="F5298" s="22"/>
      <c r="G5298" s="22"/>
    </row>
    <row r="5299" spans="1:7" x14ac:dyDescent="0.15">
      <c r="A5299" s="19" t="s">
        <v>13207</v>
      </c>
      <c r="B5299" s="19" t="s">
        <v>13240</v>
      </c>
      <c r="C5299" s="19">
        <v>25</v>
      </c>
      <c r="D5299" s="47" t="str">
        <f>HYPERLINK("https://dl.ndl.go.jp/pid/907861/1/25")</f>
        <v>https://dl.ndl.go.jp/pid/907861/1/25</v>
      </c>
      <c r="E5299" s="22"/>
      <c r="F5299" s="22"/>
      <c r="G5299" s="22"/>
    </row>
    <row r="5300" spans="1:7" x14ac:dyDescent="0.15">
      <c r="A5300" s="19" t="s">
        <v>13207</v>
      </c>
      <c r="B5300" s="19" t="s">
        <v>13241</v>
      </c>
      <c r="C5300" s="19">
        <v>25</v>
      </c>
      <c r="D5300" s="47" t="str">
        <f>HYPERLINK("https://dl.ndl.go.jp/pid/907861/1/25")</f>
        <v>https://dl.ndl.go.jp/pid/907861/1/25</v>
      </c>
      <c r="E5300" s="22"/>
      <c r="F5300" s="22"/>
      <c r="G5300" s="22"/>
    </row>
    <row r="5301" spans="1:7" x14ac:dyDescent="0.15">
      <c r="A5301" s="19" t="s">
        <v>13207</v>
      </c>
      <c r="B5301" s="19" t="s">
        <v>8425</v>
      </c>
      <c r="C5301" s="19">
        <v>25</v>
      </c>
      <c r="D5301" s="47" t="str">
        <f>HYPERLINK("https://dl.ndl.go.jp/pid/907861/1/25")</f>
        <v>https://dl.ndl.go.jp/pid/907861/1/25</v>
      </c>
      <c r="E5301" s="22"/>
      <c r="F5301" s="22"/>
      <c r="G5301" s="22"/>
    </row>
    <row r="5302" spans="1:7" x14ac:dyDescent="0.15">
      <c r="A5302" s="19" t="s">
        <v>13207</v>
      </c>
      <c r="B5302" s="19" t="s">
        <v>7237</v>
      </c>
      <c r="C5302" s="19">
        <v>26</v>
      </c>
      <c r="D5302" s="47" t="str">
        <f>HYPERLINK("https://dl.ndl.go.jp/pid/907861/1/26")</f>
        <v>https://dl.ndl.go.jp/pid/907861/1/26</v>
      </c>
      <c r="E5302" s="22"/>
      <c r="F5302" s="22"/>
      <c r="G5302" s="22"/>
    </row>
    <row r="5303" spans="1:7" x14ac:dyDescent="0.15">
      <c r="A5303" s="19" t="s">
        <v>13207</v>
      </c>
      <c r="B5303" s="19" t="s">
        <v>13242</v>
      </c>
      <c r="C5303" s="19">
        <v>26</v>
      </c>
      <c r="D5303" s="47" t="str">
        <f>HYPERLINK("https://dl.ndl.go.jp/pid/907861/1/26")</f>
        <v>https://dl.ndl.go.jp/pid/907861/1/26</v>
      </c>
      <c r="E5303" s="22"/>
      <c r="F5303" s="22"/>
      <c r="G5303" s="22"/>
    </row>
    <row r="5304" spans="1:7" x14ac:dyDescent="0.15">
      <c r="A5304" s="19" t="s">
        <v>13207</v>
      </c>
      <c r="B5304" s="19" t="s">
        <v>13243</v>
      </c>
      <c r="C5304" s="19">
        <v>27</v>
      </c>
      <c r="D5304" s="47" t="str">
        <f>HYPERLINK("https://dl.ndl.go.jp/pid/907861/1/27")</f>
        <v>https://dl.ndl.go.jp/pid/907861/1/27</v>
      </c>
      <c r="E5304" s="22"/>
      <c r="F5304" s="22"/>
      <c r="G5304" s="22"/>
    </row>
    <row r="5305" spans="1:7" x14ac:dyDescent="0.15">
      <c r="A5305" s="19" t="s">
        <v>13207</v>
      </c>
      <c r="B5305" s="19" t="s">
        <v>8579</v>
      </c>
      <c r="C5305" s="19">
        <v>27</v>
      </c>
      <c r="D5305" s="47" t="str">
        <f>HYPERLINK("https://dl.ndl.go.jp/pid/907861/1/27")</f>
        <v>https://dl.ndl.go.jp/pid/907861/1/27</v>
      </c>
      <c r="E5305" s="22"/>
      <c r="F5305" s="22"/>
      <c r="G5305" s="22"/>
    </row>
    <row r="5306" spans="1:7" x14ac:dyDescent="0.15">
      <c r="A5306" s="19" t="s">
        <v>13207</v>
      </c>
      <c r="B5306" s="19" t="s">
        <v>13244</v>
      </c>
      <c r="C5306" s="19">
        <v>27</v>
      </c>
      <c r="D5306" s="47" t="str">
        <f>HYPERLINK("https://dl.ndl.go.jp/pid/907861/1/27")</f>
        <v>https://dl.ndl.go.jp/pid/907861/1/27</v>
      </c>
      <c r="E5306" s="22"/>
      <c r="F5306" s="22"/>
      <c r="G5306" s="22"/>
    </row>
    <row r="5307" spans="1:7" x14ac:dyDescent="0.15">
      <c r="A5307" s="19" t="s">
        <v>13207</v>
      </c>
      <c r="B5307" s="19" t="s">
        <v>8483</v>
      </c>
      <c r="C5307" s="19">
        <v>28</v>
      </c>
      <c r="D5307" s="47" t="str">
        <f>HYPERLINK("https://dl.ndl.go.jp/pid/907861/1/28")</f>
        <v>https://dl.ndl.go.jp/pid/907861/1/28</v>
      </c>
      <c r="E5307" s="22"/>
      <c r="F5307" s="22"/>
      <c r="G5307" s="22"/>
    </row>
    <row r="5308" spans="1:7" x14ac:dyDescent="0.15">
      <c r="A5308" s="19" t="s">
        <v>13207</v>
      </c>
      <c r="B5308" s="19" t="s">
        <v>13245</v>
      </c>
      <c r="C5308" s="19">
        <v>28</v>
      </c>
      <c r="D5308" s="47" t="str">
        <f>HYPERLINK("https://dl.ndl.go.jp/pid/907861/1/28")</f>
        <v>https://dl.ndl.go.jp/pid/907861/1/28</v>
      </c>
      <c r="E5308" s="22"/>
      <c r="F5308" s="22"/>
      <c r="G5308" s="22"/>
    </row>
    <row r="5309" spans="1:7" x14ac:dyDescent="0.15">
      <c r="A5309" s="19" t="s">
        <v>13207</v>
      </c>
      <c r="B5309" s="19" t="s">
        <v>8583</v>
      </c>
      <c r="C5309" s="19">
        <v>28</v>
      </c>
      <c r="D5309" s="47" t="str">
        <f>HYPERLINK("https://dl.ndl.go.jp/pid/907861/1/28")</f>
        <v>https://dl.ndl.go.jp/pid/907861/1/28</v>
      </c>
      <c r="E5309" s="22"/>
      <c r="F5309" s="22"/>
      <c r="G5309" s="22"/>
    </row>
    <row r="5310" spans="1:7" x14ac:dyDescent="0.15">
      <c r="A5310" s="19" t="s">
        <v>13207</v>
      </c>
      <c r="B5310" s="19" t="s">
        <v>13246</v>
      </c>
      <c r="C5310" s="19">
        <v>29</v>
      </c>
      <c r="D5310" s="47" t="str">
        <f>HYPERLINK("https://dl.ndl.go.jp/pid/907861/1/29")</f>
        <v>https://dl.ndl.go.jp/pid/907861/1/29</v>
      </c>
      <c r="E5310" s="22"/>
      <c r="F5310" s="22"/>
      <c r="G5310" s="22"/>
    </row>
    <row r="5311" spans="1:7" x14ac:dyDescent="0.15">
      <c r="A5311" s="19" t="s">
        <v>13207</v>
      </c>
      <c r="B5311" s="19" t="s">
        <v>13247</v>
      </c>
      <c r="C5311" s="19">
        <v>29</v>
      </c>
      <c r="D5311" s="47" t="str">
        <f>HYPERLINK("https://dl.ndl.go.jp/pid/907861/1/29")</f>
        <v>https://dl.ndl.go.jp/pid/907861/1/29</v>
      </c>
      <c r="E5311" s="22"/>
      <c r="F5311" s="22"/>
      <c r="G5311" s="22"/>
    </row>
    <row r="5312" spans="1:7" x14ac:dyDescent="0.15">
      <c r="A5312" s="19" t="s">
        <v>13207</v>
      </c>
      <c r="B5312" s="19" t="s">
        <v>13248</v>
      </c>
      <c r="C5312" s="19">
        <v>29</v>
      </c>
      <c r="D5312" s="47" t="str">
        <f>HYPERLINK("https://dl.ndl.go.jp/pid/907861/1/29")</f>
        <v>https://dl.ndl.go.jp/pid/907861/1/29</v>
      </c>
      <c r="E5312" s="22"/>
      <c r="F5312" s="22"/>
      <c r="G5312" s="22"/>
    </row>
    <row r="5313" spans="1:7" x14ac:dyDescent="0.15">
      <c r="A5313" s="19" t="s">
        <v>13207</v>
      </c>
      <c r="B5313" s="19" t="s">
        <v>13249</v>
      </c>
      <c r="C5313" s="19">
        <v>30</v>
      </c>
      <c r="D5313" s="47" t="str">
        <f>HYPERLINK("https://dl.ndl.go.jp/pid/907861/1/30")</f>
        <v>https://dl.ndl.go.jp/pid/907861/1/30</v>
      </c>
      <c r="E5313" s="22"/>
      <c r="F5313" s="22"/>
      <c r="G5313" s="22"/>
    </row>
    <row r="5314" spans="1:7" x14ac:dyDescent="0.15">
      <c r="A5314" s="19" t="s">
        <v>13207</v>
      </c>
      <c r="B5314" s="19" t="s">
        <v>13250</v>
      </c>
      <c r="C5314" s="19">
        <v>30</v>
      </c>
      <c r="D5314" s="47" t="str">
        <f>HYPERLINK("https://dl.ndl.go.jp/pid/907861/1/30")</f>
        <v>https://dl.ndl.go.jp/pid/907861/1/30</v>
      </c>
      <c r="E5314" s="22"/>
      <c r="F5314" s="22"/>
      <c r="G5314" s="22"/>
    </row>
    <row r="5315" spans="1:7" x14ac:dyDescent="0.15">
      <c r="A5315" s="19" t="s">
        <v>13207</v>
      </c>
      <c r="B5315" s="19" t="s">
        <v>13251</v>
      </c>
      <c r="C5315" s="19">
        <v>30</v>
      </c>
      <c r="D5315" s="47" t="str">
        <f>HYPERLINK("https://dl.ndl.go.jp/pid/907861/1/30")</f>
        <v>https://dl.ndl.go.jp/pid/907861/1/30</v>
      </c>
      <c r="E5315" s="22"/>
      <c r="F5315" s="22"/>
      <c r="G5315" s="22"/>
    </row>
    <row r="5316" spans="1:7" x14ac:dyDescent="0.15">
      <c r="A5316" s="19" t="s">
        <v>13207</v>
      </c>
      <c r="B5316" s="19" t="s">
        <v>13252</v>
      </c>
      <c r="C5316" s="19">
        <v>31</v>
      </c>
      <c r="D5316" s="47" t="str">
        <f>HYPERLINK("https://dl.ndl.go.jp/pid/907861/1/31")</f>
        <v>https://dl.ndl.go.jp/pid/907861/1/31</v>
      </c>
      <c r="E5316" s="22"/>
      <c r="F5316" s="22"/>
      <c r="G5316" s="22"/>
    </row>
    <row r="5317" spans="1:7" x14ac:dyDescent="0.15">
      <c r="A5317" s="19" t="s">
        <v>13207</v>
      </c>
      <c r="B5317" s="19" t="s">
        <v>8223</v>
      </c>
      <c r="C5317" s="19">
        <v>31</v>
      </c>
      <c r="D5317" s="47" t="str">
        <f>HYPERLINK("https://dl.ndl.go.jp/pid/907861/1/31")</f>
        <v>https://dl.ndl.go.jp/pid/907861/1/31</v>
      </c>
      <c r="E5317" s="22"/>
      <c r="F5317" s="22"/>
      <c r="G5317" s="22"/>
    </row>
    <row r="5318" spans="1:7" x14ac:dyDescent="0.15">
      <c r="A5318" s="19" t="s">
        <v>13207</v>
      </c>
      <c r="B5318" s="19" t="s">
        <v>13253</v>
      </c>
      <c r="C5318" s="19">
        <v>31</v>
      </c>
      <c r="D5318" s="47" t="str">
        <f>HYPERLINK("https://dl.ndl.go.jp/pid/907861/1/31")</f>
        <v>https://dl.ndl.go.jp/pid/907861/1/31</v>
      </c>
      <c r="E5318" s="22"/>
      <c r="F5318" s="22"/>
      <c r="G5318" s="22"/>
    </row>
    <row r="5319" spans="1:7" x14ac:dyDescent="0.15">
      <c r="A5319" s="19" t="s">
        <v>13207</v>
      </c>
      <c r="B5319" s="19" t="s">
        <v>13254</v>
      </c>
      <c r="C5319" s="19">
        <v>32</v>
      </c>
      <c r="D5319" s="47" t="str">
        <f>HYPERLINK("https://dl.ndl.go.jp/pid/907861/1/32")</f>
        <v>https://dl.ndl.go.jp/pid/907861/1/32</v>
      </c>
      <c r="E5319" s="22"/>
      <c r="F5319" s="22"/>
      <c r="G5319" s="22"/>
    </row>
    <row r="5320" spans="1:7" x14ac:dyDescent="0.15">
      <c r="A5320" s="19" t="s">
        <v>13207</v>
      </c>
      <c r="B5320" s="19" t="s">
        <v>13255</v>
      </c>
      <c r="C5320" s="19">
        <v>32</v>
      </c>
      <c r="D5320" s="47" t="str">
        <f>HYPERLINK("https://dl.ndl.go.jp/pid/907861/1/32")</f>
        <v>https://dl.ndl.go.jp/pid/907861/1/32</v>
      </c>
      <c r="E5320" s="22"/>
      <c r="F5320" s="22"/>
      <c r="G5320" s="22"/>
    </row>
    <row r="5321" spans="1:7" x14ac:dyDescent="0.15">
      <c r="A5321" s="19" t="s">
        <v>13207</v>
      </c>
      <c r="B5321" s="19" t="s">
        <v>13256</v>
      </c>
      <c r="C5321" s="19">
        <v>33</v>
      </c>
      <c r="D5321" s="47" t="str">
        <f>HYPERLINK("https://dl.ndl.go.jp/pid/907861/1/33")</f>
        <v>https://dl.ndl.go.jp/pid/907861/1/33</v>
      </c>
      <c r="E5321" s="22"/>
      <c r="F5321" s="22"/>
      <c r="G5321" s="22"/>
    </row>
    <row r="5322" spans="1:7" x14ac:dyDescent="0.15">
      <c r="A5322" s="19" t="s">
        <v>13207</v>
      </c>
      <c r="B5322" s="19" t="s">
        <v>13257</v>
      </c>
      <c r="C5322" s="19">
        <v>33</v>
      </c>
      <c r="D5322" s="47" t="str">
        <f>HYPERLINK("https://dl.ndl.go.jp/pid/907861/1/33")</f>
        <v>https://dl.ndl.go.jp/pid/907861/1/33</v>
      </c>
      <c r="E5322" s="22"/>
      <c r="F5322" s="22"/>
      <c r="G5322" s="22"/>
    </row>
    <row r="5323" spans="1:7" ht="16.5" x14ac:dyDescent="0.15">
      <c r="A5323" s="19" t="s">
        <v>13207</v>
      </c>
      <c r="B5323" s="19" t="s">
        <v>13258</v>
      </c>
      <c r="C5323" s="19">
        <v>33</v>
      </c>
      <c r="D5323" s="47" t="str">
        <f>HYPERLINK("https://dl.ndl.go.jp/pid/907861/1/33")</f>
        <v>https://dl.ndl.go.jp/pid/907861/1/33</v>
      </c>
      <c r="E5323" s="22"/>
      <c r="F5323" s="22"/>
      <c r="G5323" s="22"/>
    </row>
    <row r="5324" spans="1:7" x14ac:dyDescent="0.15">
      <c r="A5324" s="19" t="s">
        <v>13207</v>
      </c>
      <c r="B5324" s="19" t="s">
        <v>13259</v>
      </c>
      <c r="C5324" s="19">
        <v>33</v>
      </c>
      <c r="D5324" s="47" t="str">
        <f>HYPERLINK("https://dl.ndl.go.jp/pid/907861/1/33")</f>
        <v>https://dl.ndl.go.jp/pid/907861/1/33</v>
      </c>
      <c r="E5324" s="22"/>
      <c r="F5324" s="22"/>
      <c r="G5324" s="22"/>
    </row>
    <row r="5325" spans="1:7" x14ac:dyDescent="0.15">
      <c r="A5325" s="19" t="s">
        <v>13207</v>
      </c>
      <c r="B5325" s="19" t="s">
        <v>13260</v>
      </c>
      <c r="C5325" s="19">
        <v>34</v>
      </c>
      <c r="D5325" s="47" t="str">
        <f>HYPERLINK("https://dl.ndl.go.jp/pid/907861/1/34")</f>
        <v>https://dl.ndl.go.jp/pid/907861/1/34</v>
      </c>
      <c r="E5325" s="22"/>
      <c r="F5325" s="22"/>
      <c r="G5325" s="22"/>
    </row>
    <row r="5326" spans="1:7" x14ac:dyDescent="0.15">
      <c r="A5326" s="19" t="s">
        <v>13207</v>
      </c>
      <c r="B5326" s="19" t="s">
        <v>13261</v>
      </c>
      <c r="C5326" s="19">
        <v>34</v>
      </c>
      <c r="D5326" s="47" t="str">
        <f>HYPERLINK("https://dl.ndl.go.jp/pid/907861/1/34")</f>
        <v>https://dl.ndl.go.jp/pid/907861/1/34</v>
      </c>
      <c r="E5326" s="22"/>
      <c r="F5326" s="22"/>
      <c r="G5326" s="22"/>
    </row>
    <row r="5327" spans="1:7" x14ac:dyDescent="0.15">
      <c r="A5327" s="19" t="s">
        <v>13207</v>
      </c>
      <c r="B5327" s="19" t="s">
        <v>13262</v>
      </c>
      <c r="C5327" s="19">
        <v>35</v>
      </c>
      <c r="D5327" s="47" t="str">
        <f>HYPERLINK("https://dl.ndl.go.jp/pid/907861/1/35")</f>
        <v>https://dl.ndl.go.jp/pid/907861/1/35</v>
      </c>
      <c r="E5327" s="22"/>
      <c r="F5327" s="22"/>
      <c r="G5327" s="22"/>
    </row>
    <row r="5328" spans="1:7" x14ac:dyDescent="0.15">
      <c r="A5328" s="19" t="s">
        <v>13207</v>
      </c>
      <c r="B5328" s="19" t="s">
        <v>7625</v>
      </c>
      <c r="C5328" s="19">
        <v>35</v>
      </c>
      <c r="D5328" s="47" t="str">
        <f>HYPERLINK("https://dl.ndl.go.jp/pid/907861/1/35")</f>
        <v>https://dl.ndl.go.jp/pid/907861/1/35</v>
      </c>
      <c r="E5328" s="22"/>
      <c r="F5328" s="22"/>
      <c r="G5328" s="22"/>
    </row>
    <row r="5329" spans="1:7" x14ac:dyDescent="0.15">
      <c r="A5329" s="19" t="s">
        <v>13207</v>
      </c>
      <c r="B5329" s="19" t="s">
        <v>13263</v>
      </c>
      <c r="C5329" s="19">
        <v>36</v>
      </c>
      <c r="D5329" s="47" t="str">
        <f>HYPERLINK("https://dl.ndl.go.jp/pid/907861/1/36")</f>
        <v>https://dl.ndl.go.jp/pid/907861/1/36</v>
      </c>
      <c r="E5329" s="22"/>
      <c r="F5329" s="22"/>
      <c r="G5329" s="22"/>
    </row>
    <row r="5330" spans="1:7" x14ac:dyDescent="0.15">
      <c r="A5330" s="19" t="s">
        <v>13207</v>
      </c>
      <c r="B5330" s="19" t="s">
        <v>13264</v>
      </c>
      <c r="C5330" s="19">
        <v>36</v>
      </c>
      <c r="D5330" s="47" t="str">
        <f>HYPERLINK("https://dl.ndl.go.jp/pid/907861/1/36")</f>
        <v>https://dl.ndl.go.jp/pid/907861/1/36</v>
      </c>
      <c r="E5330" s="22"/>
      <c r="F5330" s="22"/>
      <c r="G5330" s="22"/>
    </row>
    <row r="5331" spans="1:7" x14ac:dyDescent="0.15">
      <c r="A5331" s="19" t="s">
        <v>13207</v>
      </c>
      <c r="B5331" s="19" t="s">
        <v>13265</v>
      </c>
      <c r="C5331" s="19">
        <v>36</v>
      </c>
      <c r="D5331" s="47" t="str">
        <f>HYPERLINK("https://dl.ndl.go.jp/pid/907861/1/36")</f>
        <v>https://dl.ndl.go.jp/pid/907861/1/36</v>
      </c>
      <c r="E5331" s="22"/>
      <c r="F5331" s="22"/>
      <c r="G5331" s="22"/>
    </row>
    <row r="5332" spans="1:7" x14ac:dyDescent="0.15">
      <c r="A5332" s="19" t="s">
        <v>13207</v>
      </c>
      <c r="B5332" s="19" t="s">
        <v>7147</v>
      </c>
      <c r="C5332" s="19">
        <v>37</v>
      </c>
      <c r="D5332" s="47" t="str">
        <f>HYPERLINK("https://dl.ndl.go.jp/pid/907861/1/37")</f>
        <v>https://dl.ndl.go.jp/pid/907861/1/37</v>
      </c>
      <c r="E5332" s="22"/>
      <c r="F5332" s="22"/>
      <c r="G5332" s="22"/>
    </row>
    <row r="5333" spans="1:7" x14ac:dyDescent="0.15">
      <c r="A5333" s="19" t="s">
        <v>13207</v>
      </c>
      <c r="B5333" s="19" t="s">
        <v>13266</v>
      </c>
      <c r="C5333" s="19">
        <v>37</v>
      </c>
      <c r="D5333" s="47" t="str">
        <f>HYPERLINK("https://dl.ndl.go.jp/pid/907861/1/37")</f>
        <v>https://dl.ndl.go.jp/pid/907861/1/37</v>
      </c>
      <c r="E5333" s="22"/>
      <c r="F5333" s="22"/>
      <c r="G5333" s="22"/>
    </row>
    <row r="5334" spans="1:7" x14ac:dyDescent="0.15">
      <c r="A5334" s="19" t="s">
        <v>13207</v>
      </c>
      <c r="B5334" s="19" t="s">
        <v>5917</v>
      </c>
      <c r="C5334" s="19">
        <v>38</v>
      </c>
      <c r="D5334" s="47" t="str">
        <f>HYPERLINK("https://dl.ndl.go.jp/pid/907861/1/38")</f>
        <v>https://dl.ndl.go.jp/pid/907861/1/38</v>
      </c>
      <c r="E5334" s="22"/>
      <c r="F5334" s="22"/>
      <c r="G5334" s="22"/>
    </row>
    <row r="5335" spans="1:7" x14ac:dyDescent="0.15">
      <c r="A5335" s="19" t="s">
        <v>13207</v>
      </c>
      <c r="B5335" s="19" t="s">
        <v>13267</v>
      </c>
      <c r="C5335" s="19">
        <v>38</v>
      </c>
      <c r="D5335" s="47" t="str">
        <f>HYPERLINK("https://dl.ndl.go.jp/pid/907861/1/38")</f>
        <v>https://dl.ndl.go.jp/pid/907861/1/38</v>
      </c>
      <c r="E5335" s="22"/>
      <c r="F5335" s="22"/>
      <c r="G5335" s="22"/>
    </row>
    <row r="5336" spans="1:7" x14ac:dyDescent="0.15">
      <c r="A5336" s="19" t="s">
        <v>13207</v>
      </c>
      <c r="B5336" s="19" t="s">
        <v>13268</v>
      </c>
      <c r="C5336" s="19">
        <v>39</v>
      </c>
      <c r="D5336" s="47" t="str">
        <f>HYPERLINK("https://dl.ndl.go.jp/pid/907861/1/39")</f>
        <v>https://dl.ndl.go.jp/pid/907861/1/39</v>
      </c>
      <c r="E5336" s="22"/>
      <c r="F5336" s="22"/>
      <c r="G5336" s="22"/>
    </row>
    <row r="5337" spans="1:7" x14ac:dyDescent="0.15">
      <c r="A5337" s="19" t="s">
        <v>13207</v>
      </c>
      <c r="B5337" s="19" t="s">
        <v>7196</v>
      </c>
      <c r="C5337" s="19">
        <v>39</v>
      </c>
      <c r="D5337" s="47" t="str">
        <f>HYPERLINK("https://dl.ndl.go.jp/pid/907861/1/39")</f>
        <v>https://dl.ndl.go.jp/pid/907861/1/39</v>
      </c>
      <c r="E5337" s="22"/>
      <c r="F5337" s="22"/>
      <c r="G5337" s="22"/>
    </row>
    <row r="5338" spans="1:7" x14ac:dyDescent="0.15">
      <c r="A5338" s="19" t="s">
        <v>13207</v>
      </c>
      <c r="B5338" s="19" t="s">
        <v>13269</v>
      </c>
      <c r="C5338" s="19">
        <v>39</v>
      </c>
      <c r="D5338" s="47" t="str">
        <f>HYPERLINK("https://dl.ndl.go.jp/pid/907861/1/39")</f>
        <v>https://dl.ndl.go.jp/pid/907861/1/39</v>
      </c>
      <c r="E5338" s="22"/>
      <c r="F5338" s="22"/>
      <c r="G5338" s="22"/>
    </row>
    <row r="5339" spans="1:7" x14ac:dyDescent="0.15">
      <c r="A5339" s="19" t="s">
        <v>13207</v>
      </c>
      <c r="B5339" s="19" t="s">
        <v>7352</v>
      </c>
      <c r="C5339" s="19">
        <v>39</v>
      </c>
      <c r="D5339" s="47" t="str">
        <f>HYPERLINK("https://dl.ndl.go.jp/pid/907861/1/39")</f>
        <v>https://dl.ndl.go.jp/pid/907861/1/39</v>
      </c>
      <c r="E5339" s="22"/>
      <c r="F5339" s="22"/>
      <c r="G5339" s="22"/>
    </row>
    <row r="5340" spans="1:7" x14ac:dyDescent="0.15">
      <c r="A5340" s="19" t="s">
        <v>13207</v>
      </c>
      <c r="B5340" s="19" t="s">
        <v>13270</v>
      </c>
      <c r="C5340" s="19">
        <v>39</v>
      </c>
      <c r="D5340" s="47" t="str">
        <f>HYPERLINK("https://dl.ndl.go.jp/pid/907861/1/39")</f>
        <v>https://dl.ndl.go.jp/pid/907861/1/39</v>
      </c>
      <c r="E5340" s="22"/>
      <c r="F5340" s="22"/>
      <c r="G5340" s="22"/>
    </row>
    <row r="5341" spans="1:7" x14ac:dyDescent="0.15">
      <c r="A5341" s="19" t="s">
        <v>13207</v>
      </c>
      <c r="B5341" s="19" t="s">
        <v>8213</v>
      </c>
      <c r="C5341" s="19">
        <v>40</v>
      </c>
      <c r="D5341" s="47" t="str">
        <f>HYPERLINK("https://dl.ndl.go.jp/pid/907861/1/40")</f>
        <v>https://dl.ndl.go.jp/pid/907861/1/40</v>
      </c>
      <c r="E5341" s="22"/>
      <c r="F5341" s="22"/>
      <c r="G5341" s="22"/>
    </row>
    <row r="5342" spans="1:7" x14ac:dyDescent="0.15">
      <c r="A5342" s="19" t="s">
        <v>13207</v>
      </c>
      <c r="B5342" s="19" t="s">
        <v>7039</v>
      </c>
      <c r="C5342" s="19">
        <v>40</v>
      </c>
      <c r="D5342" s="47" t="str">
        <f>HYPERLINK("https://dl.ndl.go.jp/pid/907861/1/40")</f>
        <v>https://dl.ndl.go.jp/pid/907861/1/40</v>
      </c>
      <c r="E5342" s="22"/>
      <c r="F5342" s="22"/>
      <c r="G5342" s="22"/>
    </row>
    <row r="5343" spans="1:7" x14ac:dyDescent="0.15">
      <c r="A5343" s="19" t="s">
        <v>13207</v>
      </c>
      <c r="B5343" s="19" t="s">
        <v>13271</v>
      </c>
      <c r="C5343" s="19">
        <v>40</v>
      </c>
      <c r="D5343" s="47" t="str">
        <f>HYPERLINK("https://dl.ndl.go.jp/pid/907861/1/40")</f>
        <v>https://dl.ndl.go.jp/pid/907861/1/40</v>
      </c>
      <c r="E5343" s="22"/>
      <c r="F5343" s="22"/>
      <c r="G5343" s="22"/>
    </row>
    <row r="5344" spans="1:7" x14ac:dyDescent="0.15">
      <c r="A5344" s="19" t="s">
        <v>13207</v>
      </c>
      <c r="B5344" s="19" t="s">
        <v>13272</v>
      </c>
      <c r="C5344" s="19">
        <v>40</v>
      </c>
      <c r="D5344" s="47" t="str">
        <f>HYPERLINK("https://dl.ndl.go.jp/pid/907861/1/40")</f>
        <v>https://dl.ndl.go.jp/pid/907861/1/40</v>
      </c>
      <c r="E5344" s="22"/>
      <c r="F5344" s="22"/>
      <c r="G5344" s="22"/>
    </row>
    <row r="5345" spans="1:7" x14ac:dyDescent="0.15">
      <c r="A5345" s="19" t="s">
        <v>13207</v>
      </c>
      <c r="B5345" s="19" t="s">
        <v>13273</v>
      </c>
      <c r="C5345" s="19">
        <v>40</v>
      </c>
      <c r="D5345" s="47" t="str">
        <f>HYPERLINK("https://dl.ndl.go.jp/pid/907861/1/40")</f>
        <v>https://dl.ndl.go.jp/pid/907861/1/40</v>
      </c>
      <c r="E5345" s="22"/>
      <c r="F5345" s="22"/>
      <c r="G5345" s="22"/>
    </row>
    <row r="5346" spans="1:7" x14ac:dyDescent="0.15">
      <c r="A5346" s="19" t="s">
        <v>13207</v>
      </c>
      <c r="B5346" s="19" t="s">
        <v>13274</v>
      </c>
      <c r="C5346" s="19">
        <v>41</v>
      </c>
      <c r="D5346" s="47" t="str">
        <f>HYPERLINK("https://dl.ndl.go.jp/pid/907861/1/41")</f>
        <v>https://dl.ndl.go.jp/pid/907861/1/41</v>
      </c>
      <c r="E5346" s="22"/>
      <c r="F5346" s="22"/>
      <c r="G5346" s="22"/>
    </row>
    <row r="5347" spans="1:7" x14ac:dyDescent="0.15">
      <c r="A5347" s="19" t="s">
        <v>13207</v>
      </c>
      <c r="B5347" s="19" t="s">
        <v>13275</v>
      </c>
      <c r="C5347" s="19">
        <v>41</v>
      </c>
      <c r="D5347" s="47" t="str">
        <f>HYPERLINK("https://dl.ndl.go.jp/pid/907861/1/41")</f>
        <v>https://dl.ndl.go.jp/pid/907861/1/41</v>
      </c>
      <c r="E5347" s="22"/>
      <c r="F5347" s="22"/>
      <c r="G5347" s="22"/>
    </row>
    <row r="5348" spans="1:7" x14ac:dyDescent="0.15">
      <c r="A5348" s="19" t="s">
        <v>13207</v>
      </c>
      <c r="B5348" s="19" t="s">
        <v>13276</v>
      </c>
      <c r="C5348" s="19">
        <v>41</v>
      </c>
      <c r="D5348" s="47" t="str">
        <f>HYPERLINK("https://dl.ndl.go.jp/pid/907861/1/41")</f>
        <v>https://dl.ndl.go.jp/pid/907861/1/41</v>
      </c>
      <c r="E5348" s="22"/>
      <c r="F5348" s="22"/>
      <c r="G5348" s="22"/>
    </row>
    <row r="5349" spans="1:7" x14ac:dyDescent="0.15">
      <c r="A5349" s="19" t="s">
        <v>13207</v>
      </c>
      <c r="B5349" s="19" t="s">
        <v>13277</v>
      </c>
      <c r="C5349" s="19">
        <v>41</v>
      </c>
      <c r="D5349" s="47" t="str">
        <f>HYPERLINK("https://dl.ndl.go.jp/pid/907861/1/41")</f>
        <v>https://dl.ndl.go.jp/pid/907861/1/41</v>
      </c>
      <c r="E5349" s="22"/>
      <c r="F5349" s="22"/>
      <c r="G5349" s="22"/>
    </row>
    <row r="5350" spans="1:7" x14ac:dyDescent="0.15">
      <c r="A5350" s="19" t="s">
        <v>13207</v>
      </c>
      <c r="B5350" s="19" t="s">
        <v>13278</v>
      </c>
      <c r="C5350" s="19">
        <v>42</v>
      </c>
      <c r="D5350" s="47" t="str">
        <f>HYPERLINK("https://dl.ndl.go.jp/pid/907861/1/42")</f>
        <v>https://dl.ndl.go.jp/pid/907861/1/42</v>
      </c>
      <c r="E5350" s="22"/>
      <c r="F5350" s="22"/>
      <c r="G5350" s="22"/>
    </row>
    <row r="5351" spans="1:7" x14ac:dyDescent="0.15">
      <c r="A5351" s="19" t="s">
        <v>13207</v>
      </c>
      <c r="B5351" s="19" t="s">
        <v>13279</v>
      </c>
      <c r="C5351" s="19">
        <v>42</v>
      </c>
      <c r="D5351" s="47" t="str">
        <f>HYPERLINK("https://dl.ndl.go.jp/pid/907861/1/42")</f>
        <v>https://dl.ndl.go.jp/pid/907861/1/42</v>
      </c>
      <c r="E5351" s="22"/>
      <c r="F5351" s="22"/>
      <c r="G5351" s="22"/>
    </row>
    <row r="5352" spans="1:7" x14ac:dyDescent="0.15">
      <c r="A5352" s="19" t="s">
        <v>13207</v>
      </c>
      <c r="B5352" s="19" t="s">
        <v>13280</v>
      </c>
      <c r="C5352" s="19">
        <v>42</v>
      </c>
      <c r="D5352" s="47" t="str">
        <f>HYPERLINK("https://dl.ndl.go.jp/pid/907861/1/42")</f>
        <v>https://dl.ndl.go.jp/pid/907861/1/42</v>
      </c>
      <c r="E5352" s="22"/>
      <c r="F5352" s="22"/>
      <c r="G5352" s="22"/>
    </row>
    <row r="5353" spans="1:7" x14ac:dyDescent="0.15">
      <c r="A5353" s="19" t="s">
        <v>13207</v>
      </c>
      <c r="B5353" s="19" t="s">
        <v>13281</v>
      </c>
      <c r="C5353" s="19">
        <v>43</v>
      </c>
      <c r="D5353" s="47" t="str">
        <f>HYPERLINK("https://dl.ndl.go.jp/pid/907861/1/43")</f>
        <v>https://dl.ndl.go.jp/pid/907861/1/43</v>
      </c>
      <c r="E5353" s="22"/>
      <c r="F5353" s="22"/>
      <c r="G5353" s="22"/>
    </row>
    <row r="5354" spans="1:7" x14ac:dyDescent="0.15">
      <c r="A5354" s="19" t="s">
        <v>13207</v>
      </c>
      <c r="B5354" s="19" t="s">
        <v>6055</v>
      </c>
      <c r="C5354" s="19">
        <v>43</v>
      </c>
      <c r="D5354" s="47" t="str">
        <f>HYPERLINK("https://dl.ndl.go.jp/pid/907861/1/43")</f>
        <v>https://dl.ndl.go.jp/pid/907861/1/43</v>
      </c>
      <c r="E5354" s="22"/>
      <c r="F5354" s="22"/>
      <c r="G5354" s="22"/>
    </row>
    <row r="5355" spans="1:7" x14ac:dyDescent="0.15">
      <c r="A5355" s="19" t="s">
        <v>13207</v>
      </c>
      <c r="B5355" s="19" t="s">
        <v>13282</v>
      </c>
      <c r="C5355" s="19">
        <v>43</v>
      </c>
      <c r="D5355" s="47" t="str">
        <f>HYPERLINK("https://dl.ndl.go.jp/pid/907861/1/43")</f>
        <v>https://dl.ndl.go.jp/pid/907861/1/43</v>
      </c>
      <c r="E5355" s="22"/>
      <c r="F5355" s="22"/>
      <c r="G5355" s="22"/>
    </row>
    <row r="5356" spans="1:7" x14ac:dyDescent="0.15">
      <c r="A5356" s="19" t="s">
        <v>13207</v>
      </c>
      <c r="B5356" s="19" t="s">
        <v>13283</v>
      </c>
      <c r="C5356" s="19">
        <v>49</v>
      </c>
      <c r="D5356" s="47" t="str">
        <f>HYPERLINK("https://dl.ndl.go.jp/pid/907861/1/49")</f>
        <v>https://dl.ndl.go.jp/pid/907861/1/49</v>
      </c>
      <c r="E5356" s="22"/>
      <c r="F5356" s="22"/>
      <c r="G5356" s="22"/>
    </row>
    <row r="5357" spans="1:7" x14ac:dyDescent="0.15">
      <c r="A5357" s="19" t="s">
        <v>13207</v>
      </c>
      <c r="B5357" s="19" t="s">
        <v>13284</v>
      </c>
      <c r="C5357" s="19">
        <v>56</v>
      </c>
      <c r="D5357" s="47" t="str">
        <f>HYPERLINK("https://dl.ndl.go.jp/pid/907861/1/56")</f>
        <v>https://dl.ndl.go.jp/pid/907861/1/56</v>
      </c>
      <c r="E5357" s="22"/>
      <c r="F5357" s="22"/>
      <c r="G5357" s="22"/>
    </row>
    <row r="5358" spans="1:7" x14ac:dyDescent="0.15">
      <c r="A5358" s="20" t="s">
        <v>13285</v>
      </c>
      <c r="B5358" s="20"/>
      <c r="C5358" s="20"/>
      <c r="D5358" s="20"/>
      <c r="E5358" s="48"/>
      <c r="F5358" s="22"/>
      <c r="G5358" s="22"/>
    </row>
    <row r="5359" spans="1:7" x14ac:dyDescent="0.15">
      <c r="A5359" s="49" t="s">
        <v>13285</v>
      </c>
      <c r="B5359" s="50" t="s">
        <v>13286</v>
      </c>
      <c r="C5359" s="14" t="s">
        <v>13287</v>
      </c>
      <c r="D5359" s="14" t="s">
        <v>13288</v>
      </c>
      <c r="E5359" s="6" t="s">
        <v>13289</v>
      </c>
      <c r="F5359" s="22"/>
      <c r="G5359" s="22"/>
    </row>
    <row r="5360" spans="1:7" x14ac:dyDescent="0.15">
      <c r="A5360" s="49" t="s">
        <v>13285</v>
      </c>
      <c r="B5360" s="50" t="s">
        <v>13290</v>
      </c>
      <c r="C5360" s="14" t="s">
        <v>13287</v>
      </c>
      <c r="D5360" s="14" t="s">
        <v>13291</v>
      </c>
      <c r="E5360" s="6" t="s">
        <v>13292</v>
      </c>
      <c r="F5360" s="22"/>
      <c r="G5360" s="22"/>
    </row>
    <row r="5361" spans="1:7" x14ac:dyDescent="0.15">
      <c r="A5361" s="49" t="s">
        <v>13285</v>
      </c>
      <c r="B5361" s="50" t="s">
        <v>13293</v>
      </c>
      <c r="C5361" s="14" t="s">
        <v>13287</v>
      </c>
      <c r="D5361" s="14" t="s">
        <v>13291</v>
      </c>
      <c r="E5361" s="6" t="s">
        <v>13294</v>
      </c>
      <c r="F5361" s="22"/>
      <c r="G5361" s="22"/>
    </row>
    <row r="5362" spans="1:7" x14ac:dyDescent="0.15">
      <c r="A5362" s="49" t="s">
        <v>13285</v>
      </c>
      <c r="B5362" s="50" t="s">
        <v>13295</v>
      </c>
      <c r="C5362" s="14" t="s">
        <v>13287</v>
      </c>
      <c r="D5362" s="14" t="s">
        <v>13291</v>
      </c>
      <c r="E5362" s="6" t="s">
        <v>13296</v>
      </c>
      <c r="F5362" s="22"/>
      <c r="G5362" s="22"/>
    </row>
    <row r="5363" spans="1:7" x14ac:dyDescent="0.15">
      <c r="A5363" s="49" t="s">
        <v>13285</v>
      </c>
      <c r="B5363" s="50" t="s">
        <v>13297</v>
      </c>
      <c r="C5363" s="14" t="s">
        <v>13287</v>
      </c>
      <c r="D5363" s="14" t="s">
        <v>13298</v>
      </c>
      <c r="E5363" s="6" t="s">
        <v>13299</v>
      </c>
      <c r="F5363" s="22"/>
      <c r="G5363" s="22"/>
    </row>
    <row r="5364" spans="1:7" x14ac:dyDescent="0.15">
      <c r="A5364" s="49" t="s">
        <v>13285</v>
      </c>
      <c r="B5364" s="50" t="s">
        <v>13300</v>
      </c>
      <c r="C5364" s="14" t="s">
        <v>13287</v>
      </c>
      <c r="D5364" s="14" t="s">
        <v>13298</v>
      </c>
      <c r="E5364" s="6" t="s">
        <v>13299</v>
      </c>
      <c r="F5364" s="22"/>
      <c r="G5364" s="22"/>
    </row>
    <row r="5365" spans="1:7" x14ac:dyDescent="0.15">
      <c r="A5365" s="49" t="s">
        <v>13285</v>
      </c>
      <c r="B5365" s="50" t="s">
        <v>13301</v>
      </c>
      <c r="C5365" s="14" t="s">
        <v>13287</v>
      </c>
      <c r="D5365" s="14" t="s">
        <v>13298</v>
      </c>
      <c r="E5365" s="6" t="s">
        <v>13302</v>
      </c>
      <c r="F5365" s="22"/>
      <c r="G5365" s="22"/>
    </row>
    <row r="5366" spans="1:7" x14ac:dyDescent="0.15">
      <c r="A5366" s="49" t="s">
        <v>13285</v>
      </c>
      <c r="B5366" s="50" t="s">
        <v>13303</v>
      </c>
      <c r="C5366" s="14" t="s">
        <v>13287</v>
      </c>
      <c r="D5366" s="14" t="s">
        <v>13298</v>
      </c>
      <c r="E5366" s="6" t="s">
        <v>13304</v>
      </c>
      <c r="F5366" s="22"/>
      <c r="G5366" s="22"/>
    </row>
    <row r="5367" spans="1:7" x14ac:dyDescent="0.15">
      <c r="A5367" s="49" t="s">
        <v>13285</v>
      </c>
      <c r="B5367" s="50" t="s">
        <v>13305</v>
      </c>
      <c r="C5367" s="14" t="s">
        <v>13287</v>
      </c>
      <c r="D5367" s="14" t="s">
        <v>13298</v>
      </c>
      <c r="E5367" s="6" t="s">
        <v>13306</v>
      </c>
      <c r="F5367" s="22"/>
      <c r="G5367" s="22"/>
    </row>
    <row r="5368" spans="1:7" x14ac:dyDescent="0.15">
      <c r="A5368" s="49" t="s">
        <v>13285</v>
      </c>
      <c r="B5368" s="50" t="s">
        <v>13307</v>
      </c>
      <c r="C5368" s="14" t="s">
        <v>13287</v>
      </c>
      <c r="D5368" s="14" t="s">
        <v>13298</v>
      </c>
      <c r="E5368" s="6" t="s">
        <v>13308</v>
      </c>
      <c r="F5368" s="22"/>
      <c r="G5368" s="22"/>
    </row>
    <row r="5369" spans="1:7" x14ac:dyDescent="0.15">
      <c r="A5369" s="49" t="s">
        <v>13285</v>
      </c>
      <c r="B5369" s="50" t="s">
        <v>13309</v>
      </c>
      <c r="C5369" s="14" t="s">
        <v>13287</v>
      </c>
      <c r="D5369" s="14" t="s">
        <v>13310</v>
      </c>
      <c r="E5369" s="6" t="s">
        <v>13311</v>
      </c>
      <c r="F5369" s="22"/>
      <c r="G5369" s="22"/>
    </row>
    <row r="5370" spans="1:7" x14ac:dyDescent="0.15">
      <c r="A5370" s="49" t="s">
        <v>13285</v>
      </c>
      <c r="B5370" s="50" t="s">
        <v>13312</v>
      </c>
      <c r="C5370" s="14" t="s">
        <v>13287</v>
      </c>
      <c r="D5370" s="14" t="s">
        <v>13313</v>
      </c>
      <c r="E5370" s="6" t="s">
        <v>13314</v>
      </c>
      <c r="F5370" s="22"/>
      <c r="G5370" s="22"/>
    </row>
    <row r="5371" spans="1:7" x14ac:dyDescent="0.15">
      <c r="A5371" s="49" t="s">
        <v>13285</v>
      </c>
      <c r="B5371" s="50" t="s">
        <v>13315</v>
      </c>
      <c r="C5371" s="14" t="s">
        <v>13287</v>
      </c>
      <c r="D5371" s="14" t="s">
        <v>13316</v>
      </c>
      <c r="E5371" s="6" t="s">
        <v>13317</v>
      </c>
      <c r="F5371" s="22"/>
      <c r="G5371" s="22"/>
    </row>
    <row r="5372" spans="1:7" x14ac:dyDescent="0.15">
      <c r="A5372" s="49" t="s">
        <v>13285</v>
      </c>
      <c r="B5372" s="50" t="s">
        <v>13318</v>
      </c>
      <c r="C5372" s="14" t="s">
        <v>13287</v>
      </c>
      <c r="D5372" s="14" t="s">
        <v>13319</v>
      </c>
      <c r="E5372" s="6" t="s">
        <v>13320</v>
      </c>
      <c r="F5372" s="22"/>
      <c r="G5372" s="22"/>
    </row>
    <row r="5373" spans="1:7" x14ac:dyDescent="0.15">
      <c r="A5373" s="49" t="s">
        <v>13285</v>
      </c>
      <c r="B5373" s="50" t="s">
        <v>13321</v>
      </c>
      <c r="C5373" s="14" t="s">
        <v>13287</v>
      </c>
      <c r="D5373" s="14" t="s">
        <v>13322</v>
      </c>
      <c r="E5373" s="6" t="s">
        <v>13323</v>
      </c>
      <c r="F5373" s="22"/>
      <c r="G5373" s="22"/>
    </row>
    <row r="5374" spans="1:7" x14ac:dyDescent="0.15">
      <c r="A5374" s="49" t="s">
        <v>13285</v>
      </c>
      <c r="B5374" s="50" t="s">
        <v>13324</v>
      </c>
      <c r="C5374" s="14" t="s">
        <v>13287</v>
      </c>
      <c r="D5374" s="14" t="s">
        <v>13325</v>
      </c>
      <c r="E5374" s="6" t="s">
        <v>13326</v>
      </c>
      <c r="F5374" s="22"/>
      <c r="G5374" s="22"/>
    </row>
    <row r="5375" spans="1:7" x14ac:dyDescent="0.15">
      <c r="A5375" s="49" t="s">
        <v>13285</v>
      </c>
      <c r="B5375" s="50" t="s">
        <v>13327</v>
      </c>
      <c r="C5375" s="14" t="s">
        <v>13287</v>
      </c>
      <c r="D5375" s="14" t="s">
        <v>13325</v>
      </c>
      <c r="E5375" s="6" t="s">
        <v>13328</v>
      </c>
      <c r="F5375" s="22"/>
      <c r="G5375" s="22"/>
    </row>
    <row r="5376" spans="1:7" x14ac:dyDescent="0.15">
      <c r="A5376" s="49" t="s">
        <v>13285</v>
      </c>
      <c r="B5376" s="50" t="s">
        <v>13329</v>
      </c>
      <c r="C5376" s="14" t="s">
        <v>13287</v>
      </c>
      <c r="D5376" s="14" t="s">
        <v>13330</v>
      </c>
      <c r="E5376" s="6" t="s">
        <v>13331</v>
      </c>
      <c r="F5376" s="22"/>
      <c r="G5376" s="22"/>
    </row>
    <row r="5377" spans="1:7" x14ac:dyDescent="0.15">
      <c r="A5377" s="49" t="s">
        <v>13285</v>
      </c>
      <c r="B5377" s="50" t="s">
        <v>13332</v>
      </c>
      <c r="C5377" s="14" t="s">
        <v>13287</v>
      </c>
      <c r="D5377" s="14" t="s">
        <v>13333</v>
      </c>
      <c r="E5377" s="6" t="s">
        <v>13334</v>
      </c>
      <c r="F5377" s="22"/>
      <c r="G5377" s="22"/>
    </row>
    <row r="5378" spans="1:7" x14ac:dyDescent="0.15">
      <c r="A5378" s="49" t="s">
        <v>13285</v>
      </c>
      <c r="B5378" s="50" t="s">
        <v>13335</v>
      </c>
      <c r="C5378" s="14" t="s">
        <v>13287</v>
      </c>
      <c r="D5378" s="14" t="s">
        <v>13336</v>
      </c>
      <c r="E5378" s="6" t="s">
        <v>13337</v>
      </c>
      <c r="F5378" s="22"/>
      <c r="G5378" s="22"/>
    </row>
    <row r="5379" spans="1:7" x14ac:dyDescent="0.15">
      <c r="A5379" s="49" t="s">
        <v>13285</v>
      </c>
      <c r="B5379" s="50" t="s">
        <v>13338</v>
      </c>
      <c r="C5379" s="14" t="s">
        <v>13287</v>
      </c>
      <c r="D5379" s="14" t="s">
        <v>13339</v>
      </c>
      <c r="E5379" s="6" t="s">
        <v>13340</v>
      </c>
      <c r="F5379" s="22"/>
      <c r="G5379" s="22"/>
    </row>
    <row r="5380" spans="1:7" x14ac:dyDescent="0.15">
      <c r="A5380" s="49" t="s">
        <v>13285</v>
      </c>
      <c r="B5380" s="50" t="s">
        <v>13341</v>
      </c>
      <c r="C5380" s="14" t="s">
        <v>13287</v>
      </c>
      <c r="D5380" s="14" t="s">
        <v>13339</v>
      </c>
      <c r="E5380" s="6" t="s">
        <v>13342</v>
      </c>
      <c r="F5380" s="22"/>
      <c r="G5380" s="22"/>
    </row>
    <row r="5381" spans="1:7" x14ac:dyDescent="0.15">
      <c r="A5381" s="49" t="s">
        <v>13285</v>
      </c>
      <c r="B5381" s="50" t="s">
        <v>13343</v>
      </c>
      <c r="C5381" s="14" t="s">
        <v>13344</v>
      </c>
      <c r="D5381" s="14" t="s">
        <v>13345</v>
      </c>
      <c r="E5381" s="6" t="s">
        <v>13346</v>
      </c>
      <c r="F5381" s="22"/>
      <c r="G5381" s="22"/>
    </row>
    <row r="5382" spans="1:7" x14ac:dyDescent="0.15">
      <c r="A5382" s="49" t="s">
        <v>13285</v>
      </c>
      <c r="B5382" s="50" t="s">
        <v>13347</v>
      </c>
      <c r="C5382" s="14" t="s">
        <v>13344</v>
      </c>
      <c r="D5382" s="14" t="s">
        <v>13345</v>
      </c>
      <c r="E5382" s="6" t="s">
        <v>13346</v>
      </c>
      <c r="F5382" s="22"/>
      <c r="G5382" s="22"/>
    </row>
    <row r="5383" spans="1:7" x14ac:dyDescent="0.15">
      <c r="A5383" s="49" t="s">
        <v>13285</v>
      </c>
      <c r="B5383" s="50" t="s">
        <v>13348</v>
      </c>
      <c r="C5383" s="14" t="s">
        <v>13344</v>
      </c>
      <c r="D5383" s="14" t="s">
        <v>13345</v>
      </c>
      <c r="E5383" s="6" t="s">
        <v>13349</v>
      </c>
      <c r="F5383" s="22"/>
      <c r="G5383" s="22"/>
    </row>
    <row r="5384" spans="1:7" x14ac:dyDescent="0.15">
      <c r="A5384" s="49" t="s">
        <v>13285</v>
      </c>
      <c r="B5384" s="50" t="s">
        <v>13350</v>
      </c>
      <c r="C5384" s="14" t="s">
        <v>13344</v>
      </c>
      <c r="D5384" s="14" t="s">
        <v>13345</v>
      </c>
      <c r="E5384" s="6" t="s">
        <v>13349</v>
      </c>
      <c r="F5384" s="22"/>
      <c r="G5384" s="22"/>
    </row>
    <row r="5385" spans="1:7" x14ac:dyDescent="0.15">
      <c r="A5385" s="49" t="s">
        <v>13285</v>
      </c>
      <c r="B5385" s="50" t="s">
        <v>13351</v>
      </c>
      <c r="C5385" s="14" t="s">
        <v>13344</v>
      </c>
      <c r="D5385" s="14" t="s">
        <v>13345</v>
      </c>
      <c r="E5385" s="6" t="s">
        <v>13352</v>
      </c>
      <c r="F5385" s="22"/>
      <c r="G5385" s="22"/>
    </row>
    <row r="5386" spans="1:7" x14ac:dyDescent="0.15">
      <c r="A5386" s="49" t="s">
        <v>13285</v>
      </c>
      <c r="B5386" s="50" t="s">
        <v>13353</v>
      </c>
      <c r="C5386" s="14" t="s">
        <v>13344</v>
      </c>
      <c r="D5386" s="14" t="s">
        <v>13345</v>
      </c>
      <c r="E5386" s="6" t="s">
        <v>13354</v>
      </c>
      <c r="F5386" s="22"/>
      <c r="G5386" s="22"/>
    </row>
    <row r="5387" spans="1:7" x14ac:dyDescent="0.15">
      <c r="A5387" s="49" t="s">
        <v>13285</v>
      </c>
      <c r="B5387" s="50" t="s">
        <v>13355</v>
      </c>
      <c r="C5387" s="14" t="s">
        <v>13344</v>
      </c>
      <c r="D5387" s="14" t="s">
        <v>13345</v>
      </c>
      <c r="E5387" s="6" t="s">
        <v>13356</v>
      </c>
      <c r="F5387" s="22"/>
      <c r="G5387" s="22"/>
    </row>
    <row r="5388" spans="1:7" x14ac:dyDescent="0.15">
      <c r="A5388" s="49" t="s">
        <v>13285</v>
      </c>
      <c r="B5388" s="50" t="s">
        <v>13357</v>
      </c>
      <c r="C5388" s="14" t="s">
        <v>13344</v>
      </c>
      <c r="D5388" s="14" t="s">
        <v>13345</v>
      </c>
      <c r="E5388" s="6" t="s">
        <v>13358</v>
      </c>
      <c r="F5388" s="22"/>
      <c r="G5388" s="22"/>
    </row>
    <row r="5389" spans="1:7" x14ac:dyDescent="0.15">
      <c r="A5389" s="49" t="s">
        <v>13285</v>
      </c>
      <c r="B5389" s="50" t="s">
        <v>13359</v>
      </c>
      <c r="C5389" s="14" t="s">
        <v>13344</v>
      </c>
      <c r="D5389" s="14" t="s">
        <v>13345</v>
      </c>
      <c r="E5389" s="6" t="s">
        <v>13360</v>
      </c>
      <c r="F5389" s="22"/>
      <c r="G5389" s="22"/>
    </row>
    <row r="5390" spans="1:7" x14ac:dyDescent="0.15">
      <c r="A5390" s="49" t="s">
        <v>13285</v>
      </c>
      <c r="B5390" s="50" t="s">
        <v>13361</v>
      </c>
      <c r="C5390" s="14" t="s">
        <v>13344</v>
      </c>
      <c r="D5390" s="14" t="s">
        <v>13345</v>
      </c>
      <c r="E5390" s="6" t="s">
        <v>13360</v>
      </c>
      <c r="F5390" s="22"/>
      <c r="G5390" s="22"/>
    </row>
    <row r="5391" spans="1:7" x14ac:dyDescent="0.15">
      <c r="A5391" s="49" t="s">
        <v>13285</v>
      </c>
      <c r="B5391" s="50" t="s">
        <v>13362</v>
      </c>
      <c r="C5391" s="14" t="s">
        <v>13344</v>
      </c>
      <c r="D5391" s="14" t="s">
        <v>13345</v>
      </c>
      <c r="E5391" s="6" t="s">
        <v>13363</v>
      </c>
      <c r="F5391" s="22"/>
      <c r="G5391" s="22"/>
    </row>
    <row r="5392" spans="1:7" x14ac:dyDescent="0.15">
      <c r="A5392" s="49" t="s">
        <v>13285</v>
      </c>
      <c r="B5392" s="50" t="s">
        <v>13364</v>
      </c>
      <c r="C5392" s="14" t="s">
        <v>13344</v>
      </c>
      <c r="D5392" s="14" t="s">
        <v>13345</v>
      </c>
      <c r="E5392" s="6" t="s">
        <v>13365</v>
      </c>
      <c r="F5392" s="22"/>
      <c r="G5392" s="22"/>
    </row>
    <row r="5393" spans="1:7" x14ac:dyDescent="0.15">
      <c r="A5393" s="49" t="s">
        <v>13285</v>
      </c>
      <c r="B5393" s="50" t="s">
        <v>13366</v>
      </c>
      <c r="C5393" s="14" t="s">
        <v>13344</v>
      </c>
      <c r="D5393" s="14" t="s">
        <v>13345</v>
      </c>
      <c r="E5393" s="6" t="s">
        <v>13365</v>
      </c>
      <c r="F5393" s="22"/>
      <c r="G5393" s="22"/>
    </row>
    <row r="5394" spans="1:7" x14ac:dyDescent="0.15">
      <c r="A5394" s="49" t="s">
        <v>13285</v>
      </c>
      <c r="B5394" s="50" t="s">
        <v>13367</v>
      </c>
      <c r="C5394" s="14" t="s">
        <v>13344</v>
      </c>
      <c r="D5394" s="14" t="s">
        <v>13345</v>
      </c>
      <c r="E5394" s="6" t="s">
        <v>13368</v>
      </c>
      <c r="F5394" s="22"/>
      <c r="G5394" s="22"/>
    </row>
    <row r="5395" spans="1:7" x14ac:dyDescent="0.15">
      <c r="A5395" s="49" t="s">
        <v>13285</v>
      </c>
      <c r="B5395" s="50" t="s">
        <v>13369</v>
      </c>
      <c r="C5395" s="14" t="s">
        <v>13344</v>
      </c>
      <c r="D5395" s="14" t="s">
        <v>13345</v>
      </c>
      <c r="E5395" s="6" t="s">
        <v>13368</v>
      </c>
      <c r="F5395" s="22"/>
      <c r="G5395" s="22"/>
    </row>
    <row r="5396" spans="1:7" x14ac:dyDescent="0.15">
      <c r="A5396" s="49" t="s">
        <v>13285</v>
      </c>
      <c r="B5396" s="50" t="s">
        <v>13370</v>
      </c>
      <c r="C5396" s="14" t="s">
        <v>13344</v>
      </c>
      <c r="D5396" s="14" t="s">
        <v>13371</v>
      </c>
      <c r="E5396" s="6" t="s">
        <v>13372</v>
      </c>
      <c r="F5396" s="22"/>
      <c r="G5396" s="22"/>
    </row>
    <row r="5397" spans="1:7" x14ac:dyDescent="0.15">
      <c r="A5397" s="49" t="s">
        <v>13285</v>
      </c>
      <c r="B5397" s="50" t="s">
        <v>13373</v>
      </c>
      <c r="C5397" s="14" t="s">
        <v>13344</v>
      </c>
      <c r="D5397" s="14" t="s">
        <v>13371</v>
      </c>
      <c r="E5397" s="6" t="s">
        <v>13374</v>
      </c>
      <c r="F5397" s="22"/>
      <c r="G5397" s="22"/>
    </row>
    <row r="5398" spans="1:7" x14ac:dyDescent="0.15">
      <c r="A5398" s="49" t="s">
        <v>13285</v>
      </c>
      <c r="B5398" s="50" t="s">
        <v>13375</v>
      </c>
      <c r="C5398" s="14" t="s">
        <v>13344</v>
      </c>
      <c r="D5398" s="14" t="s">
        <v>13371</v>
      </c>
      <c r="E5398" s="6" t="s">
        <v>13376</v>
      </c>
      <c r="F5398" s="22"/>
      <c r="G5398" s="22"/>
    </row>
    <row r="5399" spans="1:7" x14ac:dyDescent="0.15">
      <c r="A5399" s="49" t="s">
        <v>13285</v>
      </c>
      <c r="B5399" s="50" t="s">
        <v>13377</v>
      </c>
      <c r="C5399" s="14" t="s">
        <v>13344</v>
      </c>
      <c r="D5399" s="14" t="s">
        <v>13378</v>
      </c>
      <c r="E5399" s="6" t="s">
        <v>13379</v>
      </c>
      <c r="F5399" s="22"/>
      <c r="G5399" s="22"/>
    </row>
    <row r="5400" spans="1:7" x14ac:dyDescent="0.15">
      <c r="A5400" s="49" t="s">
        <v>13285</v>
      </c>
      <c r="B5400" s="50" t="s">
        <v>13380</v>
      </c>
      <c r="C5400" s="14" t="s">
        <v>13344</v>
      </c>
      <c r="D5400" s="14" t="s">
        <v>13378</v>
      </c>
      <c r="E5400" s="6" t="s">
        <v>13381</v>
      </c>
      <c r="F5400" s="22"/>
      <c r="G5400" s="22"/>
    </row>
    <row r="5401" spans="1:7" x14ac:dyDescent="0.15">
      <c r="A5401" s="49" t="s">
        <v>13285</v>
      </c>
      <c r="B5401" s="50" t="s">
        <v>13382</v>
      </c>
      <c r="C5401" s="14" t="s">
        <v>13344</v>
      </c>
      <c r="D5401" s="14" t="s">
        <v>13378</v>
      </c>
      <c r="E5401" s="6" t="s">
        <v>13383</v>
      </c>
      <c r="F5401" s="22"/>
      <c r="G5401" s="22"/>
    </row>
    <row r="5402" spans="1:7" x14ac:dyDescent="0.15">
      <c r="A5402" s="49" t="s">
        <v>13285</v>
      </c>
      <c r="B5402" s="50" t="s">
        <v>13384</v>
      </c>
      <c r="C5402" s="14" t="s">
        <v>13344</v>
      </c>
      <c r="D5402" s="14" t="s">
        <v>13378</v>
      </c>
      <c r="E5402" s="6" t="s">
        <v>13385</v>
      </c>
      <c r="F5402" s="22"/>
      <c r="G5402" s="22"/>
    </row>
    <row r="5403" spans="1:7" x14ac:dyDescent="0.15">
      <c r="A5403" s="49" t="s">
        <v>13285</v>
      </c>
      <c r="B5403" s="50" t="s">
        <v>13386</v>
      </c>
      <c r="C5403" s="14" t="s">
        <v>13344</v>
      </c>
      <c r="D5403" s="14" t="s">
        <v>13378</v>
      </c>
      <c r="E5403" s="6" t="s">
        <v>13385</v>
      </c>
      <c r="F5403" s="22"/>
      <c r="G5403" s="22"/>
    </row>
    <row r="5404" spans="1:7" x14ac:dyDescent="0.15">
      <c r="A5404" s="49" t="s">
        <v>13285</v>
      </c>
      <c r="B5404" s="50" t="s">
        <v>13387</v>
      </c>
      <c r="C5404" s="14" t="s">
        <v>13344</v>
      </c>
      <c r="D5404" s="14" t="s">
        <v>13388</v>
      </c>
      <c r="E5404" s="6" t="s">
        <v>13389</v>
      </c>
      <c r="F5404" s="22"/>
      <c r="G5404" s="22"/>
    </row>
    <row r="5405" spans="1:7" x14ac:dyDescent="0.15">
      <c r="A5405" s="49" t="s">
        <v>13285</v>
      </c>
      <c r="B5405" s="50" t="s">
        <v>13390</v>
      </c>
      <c r="C5405" s="14" t="s">
        <v>13344</v>
      </c>
      <c r="D5405" s="14" t="s">
        <v>13391</v>
      </c>
      <c r="E5405" s="6" t="s">
        <v>13392</v>
      </c>
      <c r="F5405" s="22"/>
      <c r="G5405" s="22"/>
    </row>
    <row r="5406" spans="1:7" x14ac:dyDescent="0.15">
      <c r="A5406" s="49" t="s">
        <v>13285</v>
      </c>
      <c r="B5406" s="50" t="s">
        <v>13393</v>
      </c>
      <c r="C5406" s="14" t="s">
        <v>13344</v>
      </c>
      <c r="D5406" s="14" t="s">
        <v>13394</v>
      </c>
      <c r="E5406" s="6" t="s">
        <v>13395</v>
      </c>
      <c r="F5406" s="22"/>
      <c r="G5406" s="22"/>
    </row>
    <row r="5407" spans="1:7" x14ac:dyDescent="0.15">
      <c r="A5407" s="49" t="s">
        <v>13285</v>
      </c>
      <c r="B5407" s="50" t="s">
        <v>13396</v>
      </c>
      <c r="C5407" s="14" t="s">
        <v>13344</v>
      </c>
      <c r="D5407" s="14" t="s">
        <v>13394</v>
      </c>
      <c r="E5407" s="6" t="s">
        <v>13397</v>
      </c>
      <c r="F5407" s="22"/>
      <c r="G5407" s="22"/>
    </row>
    <row r="5408" spans="1:7" x14ac:dyDescent="0.15">
      <c r="A5408" s="49" t="s">
        <v>13285</v>
      </c>
      <c r="B5408" s="50" t="s">
        <v>13398</v>
      </c>
      <c r="C5408" s="14" t="s">
        <v>13344</v>
      </c>
      <c r="D5408" s="14" t="s">
        <v>13394</v>
      </c>
      <c r="E5408" s="6" t="s">
        <v>13399</v>
      </c>
      <c r="F5408" s="22"/>
      <c r="G5408" s="22"/>
    </row>
    <row r="5409" spans="1:7" x14ac:dyDescent="0.15">
      <c r="A5409" s="49" t="s">
        <v>13285</v>
      </c>
      <c r="B5409" s="50" t="s">
        <v>13400</v>
      </c>
      <c r="C5409" s="14" t="s">
        <v>13344</v>
      </c>
      <c r="D5409" s="14" t="s">
        <v>13394</v>
      </c>
      <c r="E5409" s="6" t="s">
        <v>13401</v>
      </c>
      <c r="F5409" s="22"/>
      <c r="G5409" s="22"/>
    </row>
    <row r="5410" spans="1:7" x14ac:dyDescent="0.15">
      <c r="A5410" s="49" t="s">
        <v>13285</v>
      </c>
      <c r="B5410" s="50" t="s">
        <v>13402</v>
      </c>
      <c r="C5410" s="14" t="s">
        <v>13344</v>
      </c>
      <c r="D5410" s="14" t="s">
        <v>13403</v>
      </c>
      <c r="E5410" s="6" t="s">
        <v>13404</v>
      </c>
      <c r="F5410" s="22"/>
      <c r="G5410" s="22"/>
    </row>
    <row r="5411" spans="1:7" x14ac:dyDescent="0.15">
      <c r="A5411" s="49" t="s">
        <v>13285</v>
      </c>
      <c r="B5411" s="50" t="s">
        <v>13405</v>
      </c>
      <c r="C5411" s="14" t="s">
        <v>13344</v>
      </c>
      <c r="D5411" s="14" t="s">
        <v>13406</v>
      </c>
      <c r="E5411" s="6" t="s">
        <v>13407</v>
      </c>
      <c r="F5411" s="22"/>
      <c r="G5411" s="22"/>
    </row>
    <row r="5412" spans="1:7" x14ac:dyDescent="0.15">
      <c r="A5412" s="49" t="s">
        <v>13285</v>
      </c>
      <c r="B5412" s="50" t="s">
        <v>13408</v>
      </c>
      <c r="C5412" s="14" t="s">
        <v>13344</v>
      </c>
      <c r="D5412" s="14" t="s">
        <v>13409</v>
      </c>
      <c r="E5412" s="6" t="s">
        <v>13410</v>
      </c>
      <c r="F5412" s="22"/>
      <c r="G5412" s="22"/>
    </row>
    <row r="5413" spans="1:7" x14ac:dyDescent="0.15">
      <c r="A5413" s="49" t="s">
        <v>13285</v>
      </c>
      <c r="B5413" s="50" t="s">
        <v>13411</v>
      </c>
      <c r="C5413" s="14" t="s">
        <v>13344</v>
      </c>
      <c r="D5413" s="14" t="s">
        <v>13409</v>
      </c>
      <c r="E5413" s="6" t="s">
        <v>13410</v>
      </c>
      <c r="F5413" s="22"/>
      <c r="G5413" s="22"/>
    </row>
    <row r="5414" spans="1:7" x14ac:dyDescent="0.15">
      <c r="A5414" s="49" t="s">
        <v>13285</v>
      </c>
      <c r="B5414" s="50" t="s">
        <v>13412</v>
      </c>
      <c r="C5414" s="14" t="s">
        <v>13344</v>
      </c>
      <c r="D5414" s="14" t="s">
        <v>13413</v>
      </c>
      <c r="E5414" s="6" t="s">
        <v>13414</v>
      </c>
      <c r="F5414" s="22"/>
      <c r="G5414" s="22"/>
    </row>
    <row r="5415" spans="1:7" x14ac:dyDescent="0.15">
      <c r="A5415" s="49" t="s">
        <v>13285</v>
      </c>
      <c r="B5415" s="50" t="s">
        <v>13415</v>
      </c>
      <c r="C5415" s="14" t="s">
        <v>13344</v>
      </c>
      <c r="D5415" s="14" t="s">
        <v>13416</v>
      </c>
      <c r="E5415" s="6" t="s">
        <v>13417</v>
      </c>
      <c r="F5415" s="22"/>
      <c r="G5415" s="22"/>
    </row>
    <row r="5416" spans="1:7" x14ac:dyDescent="0.15">
      <c r="A5416" s="49" t="s">
        <v>13285</v>
      </c>
      <c r="B5416" s="50" t="s">
        <v>13418</v>
      </c>
      <c r="C5416" s="14" t="s">
        <v>13344</v>
      </c>
      <c r="D5416" s="14" t="s">
        <v>13416</v>
      </c>
      <c r="E5416" s="6" t="s">
        <v>13419</v>
      </c>
      <c r="F5416" s="22"/>
      <c r="G5416" s="22"/>
    </row>
    <row r="5417" spans="1:7" x14ac:dyDescent="0.15">
      <c r="A5417" s="49" t="s">
        <v>13285</v>
      </c>
      <c r="B5417" s="50" t="s">
        <v>13420</v>
      </c>
      <c r="C5417" s="14" t="s">
        <v>13344</v>
      </c>
      <c r="D5417" s="14" t="s">
        <v>13421</v>
      </c>
      <c r="E5417" s="6" t="s">
        <v>13422</v>
      </c>
      <c r="F5417" s="22"/>
      <c r="G5417" s="22"/>
    </row>
    <row r="5418" spans="1:7" x14ac:dyDescent="0.15">
      <c r="A5418" s="49" t="s">
        <v>13285</v>
      </c>
      <c r="B5418" s="50" t="s">
        <v>13423</v>
      </c>
      <c r="C5418" s="14" t="s">
        <v>13344</v>
      </c>
      <c r="D5418" s="14" t="s">
        <v>13424</v>
      </c>
      <c r="E5418" s="6" t="s">
        <v>13425</v>
      </c>
      <c r="F5418" s="22"/>
      <c r="G5418" s="22"/>
    </row>
    <row r="5419" spans="1:7" x14ac:dyDescent="0.15">
      <c r="A5419" s="49" t="s">
        <v>13285</v>
      </c>
      <c r="B5419" s="50" t="s">
        <v>13426</v>
      </c>
      <c r="C5419" s="14" t="s">
        <v>13344</v>
      </c>
      <c r="D5419" s="14" t="s">
        <v>13424</v>
      </c>
      <c r="E5419" s="6" t="s">
        <v>13427</v>
      </c>
      <c r="F5419" s="22"/>
      <c r="G5419" s="22"/>
    </row>
    <row r="5420" spans="1:7" x14ac:dyDescent="0.15">
      <c r="A5420" s="49" t="s">
        <v>13285</v>
      </c>
      <c r="B5420" s="50" t="s">
        <v>13428</v>
      </c>
      <c r="C5420" s="14" t="s">
        <v>13344</v>
      </c>
      <c r="D5420" s="14" t="s">
        <v>13424</v>
      </c>
      <c r="E5420" s="6" t="s">
        <v>13429</v>
      </c>
      <c r="F5420" s="22"/>
      <c r="G5420" s="22"/>
    </row>
    <row r="5421" spans="1:7" x14ac:dyDescent="0.15">
      <c r="A5421" s="49" t="s">
        <v>13285</v>
      </c>
      <c r="B5421" s="50" t="s">
        <v>13430</v>
      </c>
      <c r="C5421" s="14" t="s">
        <v>13344</v>
      </c>
      <c r="D5421" s="14" t="s">
        <v>13424</v>
      </c>
      <c r="E5421" s="6" t="s">
        <v>13431</v>
      </c>
      <c r="F5421" s="22"/>
      <c r="G5421" s="22"/>
    </row>
  </sheetData>
  <phoneticPr fontId="1"/>
  <hyperlinks>
    <hyperlink ref="D2" r:id="rId1" xr:uid="{BD6849A0-98A2-4AD7-AE34-5651707DFB3A}"/>
    <hyperlink ref="J2" location="病名彙解などのWeb索引!A2" display="万病回春" xr:uid="{17D80C37-90A9-43BD-BE35-5B3EBC595D7C}"/>
    <hyperlink ref="J3" location="病名彙解などのWeb索引!A183" display="(回春)病因指南" xr:uid="{28E4AA13-6FEE-4FA8-8E78-1614C77BECFB}"/>
    <hyperlink ref="J4" location="病名彙解などのWeb索引!A330" display="病名彙考" xr:uid="{80E2B0A9-B945-40D4-8912-1015C0F71F1C}"/>
    <hyperlink ref="J5" location="病名彙解などのWeb索引!A779" display="病名彙解" xr:uid="{9A9A2CF8-7E44-4B62-86B9-6824308E628E}"/>
    <hyperlink ref="J6" location="病名彙解などのWeb索引!A2679" display="医学入門" xr:uid="{16C13105-DA64-49B5-AB38-D2B06099F807}"/>
    <hyperlink ref="J7" location="病名彙解などのWeb索引!A3001" display="諸病源候論" xr:uid="{4F078142-436D-41CB-AA0F-3FD82FC28B65}"/>
    <hyperlink ref="J9" location="病名彙解などのWeb索引!A5263" display="鍼灸手引草（久木田七郎）" xr:uid="{EA3D0723-09BF-4E25-A55F-B966C6D89354}"/>
    <hyperlink ref="J8" location="病名彙解などのWeb索引!A4747" display="鍼灸備要（青山道醇）" xr:uid="{B9EC2685-9194-4067-825B-B3C4E7367BD1}"/>
    <hyperlink ref="J10" location="病名彙解などのWeb索引!A5358" display="丸山昌朗『内経』病名漢洋対比表" xr:uid="{C6F25F62-6268-409D-AD47-DAA3B788DEF4}"/>
    <hyperlink ref="E1" location="病名彙解などのWeb索引!A2" display="TOPに戻る" xr:uid="{6E9ED1D4-9A77-40E3-9755-CFEA0E671680}"/>
    <hyperlink ref="F1" location="病名彙解などのWeb索引!J1" display="収録リスト→" xr:uid="{E6FC1F0B-197A-451D-BE3C-C4600C363F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5517"/>
  <sheetViews>
    <sheetView tabSelected="1" zoomScale="205" zoomScaleNormal="205" workbookViewId="0">
      <pane ySplit="1" topLeftCell="A2" activePane="bottomLeft" state="frozen"/>
      <selection pane="bottomLeft" activeCell="A2" sqref="A2"/>
    </sheetView>
  </sheetViews>
  <sheetFormatPr defaultRowHeight="13.5" x14ac:dyDescent="0.15"/>
  <cols>
    <col min="1" max="1" width="53.875" customWidth="1"/>
    <col min="2" max="2" width="49.75" customWidth="1"/>
  </cols>
  <sheetData>
    <row r="1" spans="1:2" x14ac:dyDescent="0.15">
      <c r="A1" s="1" t="s">
        <v>5491</v>
      </c>
      <c r="B1" s="13" t="s">
        <v>6766</v>
      </c>
    </row>
    <row r="2" spans="1:2" x14ac:dyDescent="0.15">
      <c r="A2" t="s">
        <v>0</v>
      </c>
      <c r="B2" s="2" t="str">
        <f>HYPERLINK("あ/あい　あい（口＋愛）気　1767　鍼灸則　菅沼周桂.jpg")</f>
        <v>あ/あい　あい（口＋愛）気　1767　鍼灸則　菅沼周桂.jpg</v>
      </c>
    </row>
    <row r="3" spans="1:2" x14ac:dyDescent="0.15">
      <c r="A3" t="s">
        <v>1</v>
      </c>
      <c r="B3" t="str">
        <f>HYPERLINK("あ/あい　噫　1220　鍼灸資生経　王執中_ページ_1.jpg")</f>
        <v>あ/あい　噫　1220　鍼灸資生経　王執中_ページ_1.jpg</v>
      </c>
    </row>
    <row r="4" spans="1:2" x14ac:dyDescent="0.15">
      <c r="A4" t="s">
        <v>2</v>
      </c>
      <c r="B4" t="str">
        <f>HYPERLINK("あ/あい　噫　1220　鍼灸資生経　王執中_ページ_2.jpg")</f>
        <v>あ/あい　噫　1220　鍼灸資生経　王執中_ページ_2.jpg</v>
      </c>
    </row>
    <row r="5" spans="1:2" x14ac:dyDescent="0.15">
      <c r="A5" t="s">
        <v>3</v>
      </c>
      <c r="B5" t="str">
        <f>HYPERLINK("あ/あい　噫　1669　鍼灸枢要　山本玄通_ページ_1.jpg")</f>
        <v>あ/あい　噫　1669　鍼灸枢要　山本玄通_ページ_1.jpg</v>
      </c>
    </row>
    <row r="6" spans="1:2" x14ac:dyDescent="0.15">
      <c r="A6" t="s">
        <v>4</v>
      </c>
      <c r="B6" t="str">
        <f>HYPERLINK("あ/あい　噫　1669　鍼灸枢要　山本玄通_ページ_2.jpg")</f>
        <v>あ/あい　噫　1669　鍼灸枢要　山本玄通_ページ_2.jpg</v>
      </c>
    </row>
    <row r="7" spans="1:2" x14ac:dyDescent="0.15">
      <c r="A7" t="s">
        <v>5</v>
      </c>
      <c r="B7" t="str">
        <f>HYPERLINK("あ/あい　噫　1669　鍼灸枢要　山本玄通_ページ_3.jpg")</f>
        <v>あ/あい　噫　1669　鍼灸枢要　山本玄通_ページ_3.jpg</v>
      </c>
    </row>
    <row r="8" spans="1:2" x14ac:dyDescent="0.15">
      <c r="A8" t="s">
        <v>6</v>
      </c>
      <c r="B8" t="str">
        <f>HYPERLINK("あ/あい　噫　1800　鍼灸備要　小坂元祐_ページ_1.jpg")</f>
        <v>あ/あい　噫　1800　鍼灸備要　小坂元祐_ページ_1.jpg</v>
      </c>
    </row>
    <row r="9" spans="1:2" x14ac:dyDescent="0.15">
      <c r="A9" t="s">
        <v>7</v>
      </c>
      <c r="B9" t="str">
        <f>HYPERLINK("あ/あい　噫　1800　鍼灸備要　小坂元祐_ページ_2.jpg")</f>
        <v>あ/あい　噫　1800　鍼灸備要　小坂元祐_ページ_2.jpg</v>
      </c>
    </row>
    <row r="10" spans="1:2" x14ac:dyDescent="0.15">
      <c r="A10" t="s">
        <v>8</v>
      </c>
      <c r="B10" t="str">
        <f>HYPERLINK("あ/あい　噫えつ　翻胃　1813　名家灸選三編　平井庸信_ページ_1.jpg")</f>
        <v>あ/あい　噫えつ　翻胃　1813　名家灸選三編　平井庸信_ページ_1.jpg</v>
      </c>
    </row>
    <row r="11" spans="1:2" x14ac:dyDescent="0.15">
      <c r="A11" t="s">
        <v>9</v>
      </c>
      <c r="B11" t="str">
        <f>HYPERLINK("あ/あい　噫えつ　翻胃　1813　名家灸選三編　平井庸信_ページ_2.jpg")</f>
        <v>あ/あい　噫えつ　翻胃　1813　名家灸選三編　平井庸信_ページ_2.jpg</v>
      </c>
    </row>
    <row r="12" spans="1:2" x14ac:dyDescent="0.15">
      <c r="A12" t="s">
        <v>10</v>
      </c>
      <c r="B12" t="str">
        <f>HYPERLINK("あ/あい　噫気（おくび）　1912年（大正01）　鍼灸手引草　久木田七郎.jpg")</f>
        <v>あ/あい　噫気（おくび）　1912年（大正01）　鍼灸手引草　久木田七郎.jpg</v>
      </c>
    </row>
    <row r="13" spans="1:2" x14ac:dyDescent="0.15">
      <c r="A13" t="s">
        <v>5496</v>
      </c>
      <c r="B13" t="str">
        <f>HYPERLINK("い/いつ　いつ逆　1574　兪穴参伍的法　秦宗巴.jpg")</f>
        <v>い/いつ　いつ逆　1574　兪穴参伍的法　秦宗巴.jpg</v>
      </c>
    </row>
    <row r="14" spans="1:2" x14ac:dyDescent="0.15">
      <c r="A14" t="s">
        <v>5497</v>
      </c>
      <c r="B14" t="str">
        <f>HYPERLINK("い/いつ　いつ逆　1669　鍼灸枢要　山本玄通_ページ_1.jpg")</f>
        <v>い/いつ　いつ逆　1669　鍼灸枢要　山本玄通_ページ_1.jpg</v>
      </c>
    </row>
    <row r="15" spans="1:2" x14ac:dyDescent="0.15">
      <c r="A15" t="s">
        <v>5498</v>
      </c>
      <c r="B15" t="str">
        <f>HYPERLINK("い/いつ　いつ逆　1669　鍼灸枢要　山本玄通_ページ_2.jpg")</f>
        <v>い/いつ　いつ逆　1669　鍼灸枢要　山本玄通_ページ_2.jpg</v>
      </c>
    </row>
    <row r="16" spans="1:2" x14ac:dyDescent="0.15">
      <c r="A16" t="s">
        <v>5499</v>
      </c>
      <c r="B16" t="str">
        <f>HYPERLINK("い/いつ　いつ逆　1669　鍼灸枢要　山本玄通_ページ_3.jpg")</f>
        <v>い/いつ　いつ逆　1669　鍼灸枢要　山本玄通_ページ_3.jpg</v>
      </c>
    </row>
    <row r="17" spans="1:2" x14ac:dyDescent="0.15">
      <c r="A17" t="s">
        <v>5500</v>
      </c>
      <c r="B17" t="str">
        <f>HYPERLINK("い/いつ　いつ逆　1669　鍼灸枢要　山本玄通_ページ_4.jpg")</f>
        <v>い/いつ　いつ逆　1669　鍼灸枢要　山本玄通_ページ_4.jpg</v>
      </c>
    </row>
    <row r="18" spans="1:2" x14ac:dyDescent="0.15">
      <c r="A18" t="s">
        <v>5501</v>
      </c>
      <c r="B18" t="str">
        <f>HYPERLINK("い/いつ　いつ逆　1679　鍼法奇貨　渡辺東伯_ページ_1.jpg")</f>
        <v>い/いつ　いつ逆　1679　鍼法奇貨　渡辺東伯_ページ_1.jpg</v>
      </c>
    </row>
    <row r="19" spans="1:2" x14ac:dyDescent="0.15">
      <c r="A19" t="s">
        <v>5502</v>
      </c>
      <c r="B19" t="str">
        <f>HYPERLINK("い/いつ　いつ逆　1679　鍼法奇貨　渡辺東伯_ページ_2.jpg")</f>
        <v>い/いつ　いつ逆　1679　鍼法奇貨　渡辺東伯_ページ_2.jpg</v>
      </c>
    </row>
    <row r="20" spans="1:2" x14ac:dyDescent="0.15">
      <c r="A20" t="s">
        <v>5503</v>
      </c>
      <c r="B20" t="str">
        <f>HYPERLINK("い/いつ　いつ逆　1686　咳逆　しゃくり　鍼灸要法指南　岩田利斎.jpg")</f>
        <v>い/いつ　いつ逆　1686　咳逆　しゃくり　鍼灸要法指南　岩田利斎.jpg</v>
      </c>
    </row>
    <row r="21" spans="1:2" x14ac:dyDescent="0.15">
      <c r="A21" t="s">
        <v>5504</v>
      </c>
      <c r="B21" t="str">
        <f>HYPERLINK("い/いつ　いつ逆　1794　杉山流鍼術　島浦和田一_ページ_1.jpg")</f>
        <v>い/いつ　いつ逆　1794　杉山流鍼術　島浦和田一_ページ_1.jpg</v>
      </c>
    </row>
    <row r="22" spans="1:2" x14ac:dyDescent="0.15">
      <c r="A22" t="s">
        <v>5505</v>
      </c>
      <c r="B22" t="str">
        <f>HYPERLINK("い/いつ　いつ逆　1794　杉山流鍼術　島浦和田一_ページ_2.jpg")</f>
        <v>い/いつ　いつ逆　1794　杉山流鍼術　島浦和田一_ページ_2.jpg</v>
      </c>
    </row>
    <row r="23" spans="1:2" x14ac:dyDescent="0.15">
      <c r="A23" t="s">
        <v>5506</v>
      </c>
      <c r="B23" t="str">
        <f>HYPERLINK("い/いつ　いつ逆　1800　鍼灸備要　小坂元祐_ページ_1.jpg")</f>
        <v>い/いつ　いつ逆　1800　鍼灸備要　小坂元祐_ページ_1.jpg</v>
      </c>
    </row>
    <row r="24" spans="1:2" x14ac:dyDescent="0.15">
      <c r="A24" t="s">
        <v>5507</v>
      </c>
      <c r="B24" t="str">
        <f>HYPERLINK("い/いつ　いつ逆　1800　鍼灸備要　小坂元祐_ページ_2.jpg")</f>
        <v>い/いつ　いつ逆　1800　鍼灸備要　小坂元祐_ページ_2.jpg</v>
      </c>
    </row>
    <row r="25" spans="1:2" x14ac:dyDescent="0.15">
      <c r="A25" t="s">
        <v>5508</v>
      </c>
      <c r="B25" t="str">
        <f>HYPERLINK("い/いつ　いつ逆　成書年未詳　灸穴集　著者未詳.jpg")</f>
        <v>い/いつ　いつ逆　成書年未詳　灸穴集　著者未詳.jpg</v>
      </c>
    </row>
    <row r="26" spans="1:2" x14ac:dyDescent="0.15">
      <c r="A26" t="s">
        <v>11</v>
      </c>
      <c r="B26" t="str">
        <f>HYPERLINK("あ/あく　悪露　成書年未詳　灸穴集　著者未詳_ページ_1.jpg")</f>
        <v>あ/あく　悪露　成書年未詳　灸穴集　著者未詳_ページ_1.jpg</v>
      </c>
    </row>
    <row r="27" spans="1:2" x14ac:dyDescent="0.15">
      <c r="A27" t="s">
        <v>12</v>
      </c>
      <c r="B27" t="str">
        <f>HYPERLINK("あ/あく　悪露　成書年未詳　灸穴集　著者未詳_ページ_2.jpg")</f>
        <v>あ/あく　悪露　成書年未詳　灸穴集　著者未詳_ページ_2.jpg</v>
      </c>
    </row>
    <row r="28" spans="1:2" x14ac:dyDescent="0.15">
      <c r="A28" t="s">
        <v>13</v>
      </c>
      <c r="B28" t="str">
        <f>HYPERLINK("あ/あく　悪露不尽（あくろつきず）　さんごのおりもの　産蓐排泄　1887（明治20）　鍼灸備要　青山道醇.jpg")</f>
        <v>あ/あく　悪露不尽（あくろつきず）　さんごのおりもの　産蓐排泄　1887（明治20）　鍼灸備要　青山道醇.jpg</v>
      </c>
    </row>
    <row r="29" spans="1:2" x14ac:dyDescent="0.15">
      <c r="A29" t="s">
        <v>14</v>
      </c>
      <c r="B29" t="str">
        <f>HYPERLINK("あ/あく　悪露滞　1686　鍼灸要法指南　岩田利斎.jpg")</f>
        <v>あ/あく　悪露滞　1686　鍼灸要法指南　岩田利斎.jpg</v>
      </c>
    </row>
    <row r="30" spans="1:2" x14ac:dyDescent="0.15">
      <c r="A30" t="s">
        <v>15</v>
      </c>
      <c r="B30" t="str">
        <f>HYPERLINK("あ/あく　悪露滞　1693　鍼灸要歌集　安井昌玄_ページ_1.jpg")</f>
        <v>あ/あく　悪露滞　1693　鍼灸要歌集　安井昌玄_ページ_1.jpg</v>
      </c>
    </row>
    <row r="31" spans="1:2" x14ac:dyDescent="0.15">
      <c r="A31" t="s">
        <v>16</v>
      </c>
      <c r="B31" t="str">
        <f>HYPERLINK("あ/あく　悪露滞　1693　鍼灸要歌集　安井昌玄_ページ_2.jpg")</f>
        <v>あ/あく　悪露滞　1693　鍼灸要歌集　安井昌玄_ページ_2.jpg</v>
      </c>
    </row>
    <row r="32" spans="1:2" x14ac:dyDescent="0.15">
      <c r="A32" t="s">
        <v>17</v>
      </c>
      <c r="B32" t="str">
        <f>HYPERLINK("い/い　いぼ　1773　鍼灸手引草　大簡室主人.jpg")</f>
        <v>い/い　いぼ　1773　鍼灸手引草　大簡室主人.jpg</v>
      </c>
    </row>
    <row r="33" spans="1:2" x14ac:dyDescent="0.15">
      <c r="A33" t="s">
        <v>18</v>
      </c>
      <c r="B33" t="str">
        <f>HYPERLINK("い/い　時遺尿　1794　杉山流鍼術　島浦和田一_ページ_1.jpg")</f>
        <v>い/い　時遺尿　1794　杉山流鍼術　島浦和田一_ページ_1.jpg</v>
      </c>
    </row>
    <row r="34" spans="1:2" x14ac:dyDescent="0.15">
      <c r="A34" t="s">
        <v>19</v>
      </c>
      <c r="B34" t="str">
        <f>HYPERLINK("い/い　時遺尿　1794　杉山流鍼術　島浦和田一_ページ_2.jpg")</f>
        <v>い/い　時遺尿　1794　杉山流鍼術　島浦和田一_ページ_2.jpg</v>
      </c>
    </row>
    <row r="35" spans="1:2" x14ac:dyDescent="0.15">
      <c r="A35" t="s">
        <v>20</v>
      </c>
      <c r="B35" t="str">
        <f>HYPERLINK("い/い　痿　1537　鍼灸聚英　明・高武_ページ_1.jpg")</f>
        <v>い/い　痿　1537　鍼灸聚英　明・高武_ページ_1.jpg</v>
      </c>
    </row>
    <row r="36" spans="1:2" x14ac:dyDescent="0.15">
      <c r="A36" t="s">
        <v>21</v>
      </c>
      <c r="B36" t="str">
        <f>HYPERLINK("い/い　痿　1537　鍼灸聚英　明・高武_ページ_2.jpg")</f>
        <v>い/い　痿　1537　鍼灸聚英　明・高武_ページ_2.jpg</v>
      </c>
    </row>
    <row r="37" spans="1:2" x14ac:dyDescent="0.15">
      <c r="A37" t="s">
        <v>22</v>
      </c>
      <c r="B37" t="str">
        <f>HYPERLINK("い/い　痿　1594　鍼灸集要　曲直瀬道三_ページ_1.jpg")</f>
        <v>い/い　痿　1594　鍼灸集要　曲直瀬道三_ページ_1.jpg</v>
      </c>
    </row>
    <row r="38" spans="1:2" x14ac:dyDescent="0.15">
      <c r="A38" t="s">
        <v>23</v>
      </c>
      <c r="B38" t="str">
        <f>HYPERLINK("い/い　痿　1594　鍼灸集要　曲直瀬道三_ページ_2.jpg")</f>
        <v>い/い　痿　1594　鍼灸集要　曲直瀬道三_ページ_2.jpg</v>
      </c>
    </row>
    <row r="39" spans="1:2" x14ac:dyDescent="0.15">
      <c r="A39" t="s">
        <v>24</v>
      </c>
      <c r="B39" t="str">
        <f>HYPERLINK("い/い　痿　1680　鍼灸抜萃　著者未詳.jpg")</f>
        <v>い/い　痿　1680　鍼灸抜萃　著者未詳.jpg</v>
      </c>
    </row>
    <row r="40" spans="1:2" x14ac:dyDescent="0.15">
      <c r="A40" t="s">
        <v>25</v>
      </c>
      <c r="B40" t="str">
        <f>HYPERLINK("い/い　痿　1693　鍼灸要歌集　安井昌玄_ページ_1.jpg")</f>
        <v>い/い　痿　1693　鍼灸要歌集　安井昌玄_ページ_1.jpg</v>
      </c>
    </row>
    <row r="41" spans="1:2" x14ac:dyDescent="0.15">
      <c r="A41" t="s">
        <v>26</v>
      </c>
      <c r="B41" t="str">
        <f>HYPERLINK("い/い　痿　1693　鍼灸要歌集　安井昌玄_ページ_2.jpg")</f>
        <v>い/い　痿　1693　鍼灸要歌集　安井昌玄_ページ_2.jpg</v>
      </c>
    </row>
    <row r="42" spans="1:2" x14ac:dyDescent="0.15">
      <c r="A42" t="s">
        <v>27</v>
      </c>
      <c r="B42" t="str">
        <f>HYPERLINK("い/い　痿　1693　鍼灸要歌集　安井昌玄_ページ_3.jpg")</f>
        <v>い/い　痿　1693　鍼灸要歌集　安井昌玄_ページ_3.jpg</v>
      </c>
    </row>
    <row r="43" spans="1:2" x14ac:dyDescent="0.15">
      <c r="A43" t="s">
        <v>28</v>
      </c>
      <c r="B43" t="str">
        <f>HYPERLINK("い/い　痿　1696　広益鍼灸抜萃　著者未詳_ページ_1.jpg")</f>
        <v>い/い　痿　1696　広益鍼灸抜萃　著者未詳_ページ_1.jpg</v>
      </c>
    </row>
    <row r="44" spans="1:2" x14ac:dyDescent="0.15">
      <c r="A44" t="s">
        <v>29</v>
      </c>
      <c r="B44" t="str">
        <f>HYPERLINK("い/い　痿　1696　広益鍼灸抜萃　著者未詳_ページ_2.jpg")</f>
        <v>い/い　痿　1696　広益鍼灸抜萃　著者未詳_ページ_2.jpg</v>
      </c>
    </row>
    <row r="45" spans="1:2" x14ac:dyDescent="0.15">
      <c r="A45" t="s">
        <v>30</v>
      </c>
      <c r="B45" t="str">
        <f>HYPERLINK("い/い　痿　1718　鍼灸重宝記　なゆる　本郷正豊.jpg")</f>
        <v>い/い　痿　1718　鍼灸重宝記　なゆる　本郷正豊.jpg</v>
      </c>
    </row>
    <row r="46" spans="1:2" x14ac:dyDescent="0.15">
      <c r="A46" t="s">
        <v>31</v>
      </c>
      <c r="B46" t="str">
        <f>HYPERLINK("い/い　痿　1773　鍼灸手引草　大簡室主人.jpg")</f>
        <v>い/い　痿　1773　鍼灸手引草　大簡室主人.jpg</v>
      </c>
    </row>
    <row r="47" spans="1:2" x14ac:dyDescent="0.15">
      <c r="A47" t="s">
        <v>32</v>
      </c>
      <c r="B47" t="str">
        <f>HYPERLINK("い/い　痿　●熱在五臓発痿　第四　0300　鍼灸甲乙経　皇甫謐_ページ_1.jpg")</f>
        <v>い/い　痿　●熱在五臓発痿　第四　0300　鍼灸甲乙経　皇甫謐_ページ_1.jpg</v>
      </c>
    </row>
    <row r="48" spans="1:2" x14ac:dyDescent="0.15">
      <c r="A48" t="s">
        <v>33</v>
      </c>
      <c r="B48" t="str">
        <f>HYPERLINK("い/い　痿　●熱在五臓発痿　第四　0300　鍼灸甲乙経　皇甫謐_ページ_2.jpg")</f>
        <v>い/い　痿　●熱在五臓発痿　第四　0300　鍼灸甲乙経　皇甫謐_ページ_2.jpg</v>
      </c>
    </row>
    <row r="49" spans="1:2" x14ac:dyDescent="0.15">
      <c r="A49" t="s">
        <v>34</v>
      </c>
      <c r="B49" t="str">
        <f>HYPERLINK("い/い　痿壁　1767　鍼灸則　菅沼周桂_ページ_1.jpg")</f>
        <v>い/い　痿壁　1767　鍼灸則　菅沼周桂_ページ_1.jpg</v>
      </c>
    </row>
    <row r="50" spans="1:2" x14ac:dyDescent="0.15">
      <c r="A50" t="s">
        <v>35</v>
      </c>
      <c r="B50" t="str">
        <f>HYPERLINK("い/い　痿壁　1767　鍼灸則　菅沼周桂_ページ_2.jpg")</f>
        <v>い/い　痿壁　1767　鍼灸則　菅沼周桂_ページ_2.jpg</v>
      </c>
    </row>
    <row r="51" spans="1:2" x14ac:dyDescent="0.15">
      <c r="A51" t="s">
        <v>36</v>
      </c>
      <c r="B51" t="str">
        <f>HYPERLINK("い/い　痿病　成書年未詳　灸穴集　著者未詳_ページ_1.jpg")</f>
        <v>い/い　痿病　成書年未詳　灸穴集　著者未詳_ページ_1.jpg</v>
      </c>
    </row>
    <row r="52" spans="1:2" x14ac:dyDescent="0.15">
      <c r="A52" t="s">
        <v>37</v>
      </c>
      <c r="B52" t="str">
        <f>HYPERLINK("い/い　痿病　成書年未詳　灸穴集　著者未詳_ページ_2.jpg")</f>
        <v>い/い　痿病　成書年未詳　灸穴集　著者未詳_ページ_2.jpg</v>
      </c>
    </row>
    <row r="53" spans="1:2" x14ac:dyDescent="0.15">
      <c r="A53" t="s">
        <v>38</v>
      </c>
      <c r="B53" t="str">
        <f>HYPERLINK("い/い　痿症　1694　鍼灸そかい集　高津敬節.jpg")</f>
        <v>い/い　痿症　1694　鍼灸そかい集　高津敬節.jpg</v>
      </c>
    </row>
    <row r="54" spans="1:2" x14ac:dyDescent="0.15">
      <c r="A54" t="s">
        <v>39</v>
      </c>
      <c r="B54" t="str">
        <f>HYPERLINK("い/い　痿瘡　成書年未詳　灸穴集　著者未詳.jpg")</f>
        <v>い/い　痿瘡　成書年未詳　灸穴集　著者未詳.jpg</v>
      </c>
    </row>
    <row r="55" spans="1:2" x14ac:dyDescent="0.15">
      <c r="A55" t="s">
        <v>40</v>
      </c>
      <c r="B55" t="str">
        <f>HYPERLINK("い/い　痿証　1669　鍼灸枢要　山本玄通_ページ_1.jpg")</f>
        <v>い/い　痿証　1669　鍼灸枢要　山本玄通_ページ_1.jpg</v>
      </c>
    </row>
    <row r="56" spans="1:2" x14ac:dyDescent="0.15">
      <c r="A56" t="s">
        <v>41</v>
      </c>
      <c r="B56" t="str">
        <f>HYPERLINK("い/い　痿証　1669　鍼灸枢要　山本玄通_ページ_2.jpg")</f>
        <v>い/い　痿証　1669　鍼灸枢要　山本玄通_ページ_2.jpg</v>
      </c>
    </row>
    <row r="57" spans="1:2" x14ac:dyDescent="0.15">
      <c r="A57" t="s">
        <v>42</v>
      </c>
      <c r="B57" t="str">
        <f>HYPERLINK("い/い　痿証　1669　鍼灸枢要　山本玄通_ページ_3.jpg")</f>
        <v>い/い　痿証　1669　鍼灸枢要　山本玄通_ページ_3.jpg</v>
      </c>
    </row>
    <row r="58" spans="1:2" x14ac:dyDescent="0.15">
      <c r="A58" t="s">
        <v>43</v>
      </c>
      <c r="B58" t="str">
        <f>HYPERLINK("い/い　痿証　1669　鍼灸枢要　山本玄通_ページ_4.jpg")</f>
        <v>い/い　痿証　1669　鍼灸枢要　山本玄通_ページ_4.jpg</v>
      </c>
    </row>
    <row r="59" spans="1:2" x14ac:dyDescent="0.15">
      <c r="A59" t="s">
        <v>44</v>
      </c>
      <c r="B59" t="str">
        <f>HYPERLINK("い/い　痿証　1669　鍼灸枢要　山本玄通_ページ_5.jpg")</f>
        <v>い/い　痿証　1669　鍼灸枢要　山本玄通_ページ_5.jpg</v>
      </c>
    </row>
    <row r="60" spans="1:2" x14ac:dyDescent="0.15">
      <c r="A60" t="s">
        <v>45</v>
      </c>
      <c r="B60" t="str">
        <f>HYPERLINK("い/い　胃かん痛　1767　鍼灸則　菅沼周桂.jpg")</f>
        <v>い/い　胃かん痛　1767　鍼灸則　菅沼周桂.jpg</v>
      </c>
    </row>
    <row r="61" spans="1:2" x14ac:dyDescent="0.15">
      <c r="A61" t="s">
        <v>46</v>
      </c>
      <c r="B61" t="str">
        <f>HYPERLINK("い/い　胃かん痛　1780　むねよりへその上いたむ人　鍼灸極秘伝　木村太沖.jpg")</f>
        <v>い/い　胃かん痛　1780　むねよりへその上いたむ人　鍼灸極秘伝　木村太沖.jpg</v>
      </c>
    </row>
    <row r="62" spans="1:2" x14ac:dyDescent="0.15">
      <c r="A62" t="s">
        <v>47</v>
      </c>
      <c r="B62" t="str">
        <f>HYPERLINK("い/い　胃かん痛　1792　鍼法要集　源長起_ページ_1.jpg")</f>
        <v>い/い　胃かん痛　1792　鍼法要集　源長起_ページ_1.jpg</v>
      </c>
    </row>
    <row r="63" spans="1:2" x14ac:dyDescent="0.15">
      <c r="A63" t="s">
        <v>48</v>
      </c>
      <c r="B63" t="str">
        <f>HYPERLINK("い/い　胃かん痛　1792　鍼法要集　源長起_ページ_2.jpg")</f>
        <v>い/い　胃かん痛　1792　鍼法要集　源長起_ページ_2.jpg</v>
      </c>
    </row>
    <row r="64" spans="1:2" x14ac:dyDescent="0.15">
      <c r="A64" t="s">
        <v>49</v>
      </c>
      <c r="B64" t="str">
        <f>HYPERLINK("い/い　胃痛　1912年（大正01）　鍼灸手引草　久木田七郎_ページ_1.jpg")</f>
        <v>い/い　胃痛　1912年（大正01）　鍼灸手引草　久木田七郎_ページ_1.jpg</v>
      </c>
    </row>
    <row r="65" spans="1:2" x14ac:dyDescent="0.15">
      <c r="A65" t="s">
        <v>50</v>
      </c>
      <c r="B65" t="str">
        <f>HYPERLINK("い/い　胃痛　1912年（大正01）　鍼灸手引草　久木田七郎_ページ_2.jpg")</f>
        <v>い/い　胃痛　1912年（大正01）　鍼灸手引草　久木田七郎_ページ_2.jpg</v>
      </c>
    </row>
    <row r="66" spans="1:2" x14ac:dyDescent="0.15">
      <c r="A66" t="s">
        <v>51</v>
      </c>
      <c r="B66" t="str">
        <f>HYPERLINK("い/い　胃痛（寒熱）　1220　鍼灸資生経　王執中.jpg")</f>
        <v>い/い　胃痛（寒熱）　1220　鍼灸資生経　王執中.jpg</v>
      </c>
    </row>
    <row r="67" spans="1:2" x14ac:dyDescent="0.15">
      <c r="A67" t="s">
        <v>52</v>
      </c>
      <c r="B67" t="str">
        <f>HYPERLINK("い/い　胃翻（いほん）　あげる　慢性嘔吐　1887（明治20）　鍼灸備要　青山道醇_ページ_1.jpg")</f>
        <v>い/い　胃翻（いほん）　あげる　慢性嘔吐　1887（明治20）　鍼灸備要　青山道醇_ページ_1.jpg</v>
      </c>
    </row>
    <row r="68" spans="1:2" x14ac:dyDescent="0.15">
      <c r="A68" t="s">
        <v>53</v>
      </c>
      <c r="B68" t="str">
        <f>HYPERLINK("い/い　胃翻（いほん）　あげる　慢性嘔吐　1887（明治20）　鍼灸備要　青山道醇_ページ_2.jpg")</f>
        <v>い/い　胃翻（いほん）　あげる　慢性嘔吐　1887（明治20）　鍼灸備要　青山道醇_ページ_2.jpg</v>
      </c>
    </row>
    <row r="69" spans="1:2" x14ac:dyDescent="0.15">
      <c r="A69" t="s">
        <v>54</v>
      </c>
      <c r="B69" t="str">
        <f>HYPERLINK("い/い　遺尿　1613　古今集鍼法　長生庵了味か.jpg")</f>
        <v>い/い　遺尿　1613　古今集鍼法　長生庵了味か.jpg</v>
      </c>
    </row>
    <row r="70" spans="1:2" x14ac:dyDescent="0.15">
      <c r="A70" t="s">
        <v>55</v>
      </c>
      <c r="B70" t="str">
        <f>HYPERLINK("い/い　遺尿　1669　尿床（小児）　鍼灸枢要　山本玄通_ページ_1.jpg")</f>
        <v>い/い　遺尿　1669　尿床（小児）　鍼灸枢要　山本玄通_ページ_1.jpg</v>
      </c>
    </row>
    <row r="71" spans="1:2" x14ac:dyDescent="0.15">
      <c r="A71" t="s">
        <v>56</v>
      </c>
      <c r="B71" t="str">
        <f>HYPERLINK("い/い　遺尿　1669　尿床（小児）　鍼灸枢要　山本玄通_ページ_2.jpg")</f>
        <v>い/い　遺尿　1669　尿床（小児）　鍼灸枢要　山本玄通_ページ_2.jpg</v>
      </c>
    </row>
    <row r="72" spans="1:2" x14ac:dyDescent="0.15">
      <c r="A72" t="s">
        <v>57</v>
      </c>
      <c r="B72" t="str">
        <f>HYPERLINK("い/い　遺尿　1679　鍼法奇貨　渡辺東伯_ページ_1.jpg")</f>
        <v>い/い　遺尿　1679　鍼法奇貨　渡辺東伯_ページ_1.jpg</v>
      </c>
    </row>
    <row r="73" spans="1:2" x14ac:dyDescent="0.15">
      <c r="A73" t="s">
        <v>58</v>
      </c>
      <c r="B73" t="str">
        <f>HYPERLINK("い/い　遺尿　1679　鍼法奇貨　渡辺東伯_ページ_2.jpg")</f>
        <v>い/い　遺尿　1679　鍼法奇貨　渡辺東伯_ページ_2.jpg</v>
      </c>
    </row>
    <row r="74" spans="1:2" x14ac:dyDescent="0.15">
      <c r="A74" t="s">
        <v>59</v>
      </c>
      <c r="B74" t="str">
        <f>HYPERLINK("い/い　遺尿　1679　鍼法奇貨　渡辺東伯_ページ_3.jpg")</f>
        <v>い/い　遺尿　1679　鍼法奇貨　渡辺東伯_ページ_3.jpg</v>
      </c>
    </row>
    <row r="75" spans="1:2" x14ac:dyDescent="0.15">
      <c r="A75" t="s">
        <v>60</v>
      </c>
      <c r="B75" t="str">
        <f>HYPERLINK("い/い　遺尿　1686　鍼灸要法指南　岩田利斎.jpg")</f>
        <v>い/い　遺尿　1686　鍼灸要法指南　岩田利斎.jpg</v>
      </c>
    </row>
    <row r="76" spans="1:2" x14ac:dyDescent="0.15">
      <c r="A76" t="s">
        <v>61</v>
      </c>
      <c r="B76" t="str">
        <f>HYPERLINK("い/い　遺尿　1694　療治之大概集　覚えず小便たるる事　杉山和一.jpg")</f>
        <v>い/い　遺尿　1694　療治之大概集　覚えず小便たるる事　杉山和一.jpg</v>
      </c>
    </row>
    <row r="77" spans="1:2" x14ac:dyDescent="0.15">
      <c r="A77" t="s">
        <v>62</v>
      </c>
      <c r="B77" t="str">
        <f>HYPERLINK("い/い　遺尿　1780　鍼灸極秘伝　ねしょうべん、またざしき（座敷）にてもらす人　木村太沖.jpg")</f>
        <v>い/い　遺尿　1780　鍼灸極秘伝　ねしょうべん、またざしき（座敷）にてもらす人　木村太沖.jpg</v>
      </c>
    </row>
    <row r="78" spans="1:2" x14ac:dyDescent="0.15">
      <c r="A78" t="s">
        <v>63</v>
      </c>
      <c r="B78" t="str">
        <f>HYPERLINK("い/い　遺尿　1794　杉山流鍼術　島浦和田一.jpg")</f>
        <v>い/い　遺尿　1794　杉山流鍼術　島浦和田一.jpg</v>
      </c>
    </row>
    <row r="79" spans="1:2" x14ac:dyDescent="0.15">
      <c r="A79" t="s">
        <v>64</v>
      </c>
      <c r="B79" t="str">
        <f>HYPERLINK("い/い　遺尿　1807　続名家灸選　平井庸信_ページ_1.jpg")</f>
        <v>い/い　遺尿　1807　続名家灸選　平井庸信_ページ_1.jpg</v>
      </c>
    </row>
    <row r="80" spans="1:2" x14ac:dyDescent="0.15">
      <c r="A80" t="s">
        <v>65</v>
      </c>
      <c r="B80" t="str">
        <f>HYPERLINK("い/い　遺尿　1807　続名家灸選　平井庸信_ページ_2.jpg")</f>
        <v>い/い　遺尿　1807　続名家灸選　平井庸信_ページ_2.jpg</v>
      </c>
    </row>
    <row r="81" spans="1:2" x14ac:dyDescent="0.15">
      <c r="A81" t="s">
        <v>66</v>
      </c>
      <c r="B81" t="str">
        <f>HYPERLINK("い/い　遺尿　1813　名家灸選　浅井惟亨.jpg")</f>
        <v>い/い　遺尿　1813　名家灸選　浅井惟亨.jpg</v>
      </c>
    </row>
    <row r="82" spans="1:2" x14ac:dyDescent="0.15">
      <c r="A82" t="s">
        <v>67</v>
      </c>
      <c r="B82" t="str">
        <f>HYPERLINK("い/い　遺尿　1887（明治20）　ねしやうべん　遺尿　鍼灸備要　青山道醇.jpg")</f>
        <v>い/い　遺尿　1887（明治20）　ねしやうべん　遺尿　鍼灸備要　青山道醇.jpg</v>
      </c>
    </row>
    <row r="83" spans="1:2" x14ac:dyDescent="0.15">
      <c r="A83" t="s">
        <v>68</v>
      </c>
      <c r="B83" t="str">
        <f>HYPERLINK("い/い　遺尿　失禁　1574　兪穴参伍的法　秦宗巴.jpg")</f>
        <v>い/い　遺尿　失禁　1574　兪穴参伍的法　秦宗巴.jpg</v>
      </c>
    </row>
    <row r="84" spans="1:2" x14ac:dyDescent="0.15">
      <c r="A84" t="s">
        <v>69</v>
      </c>
      <c r="B84" t="str">
        <f>HYPERLINK("い/い　遺尿　失禁　1813　名家灸選三編　平井庸信_ページ_1.jpg")</f>
        <v>い/い　遺尿　失禁　1813　名家灸選三編　平井庸信_ページ_1.jpg</v>
      </c>
    </row>
    <row r="85" spans="1:2" x14ac:dyDescent="0.15">
      <c r="A85" t="s">
        <v>70</v>
      </c>
      <c r="B85" t="str">
        <f>HYPERLINK("い/い　遺尿　失禁　1813　名家灸選三編　平井庸信_ページ_2.jpg")</f>
        <v>い/い　遺尿　失禁　1813　名家灸選三編　平井庸信_ページ_2.jpg</v>
      </c>
    </row>
    <row r="86" spans="1:2" x14ac:dyDescent="0.15">
      <c r="A86" t="s">
        <v>71</v>
      </c>
      <c r="B86" t="str">
        <f>HYPERLINK("い/い　遺尿　小児　成書年未詳　灸穴集　著者未詳.jpg")</f>
        <v>い/い　遺尿　小児　成書年未詳　灸穴集　著者未詳.jpg</v>
      </c>
    </row>
    <row r="87" spans="1:2" x14ac:dyDescent="0.15">
      <c r="A87" t="s">
        <v>72</v>
      </c>
      <c r="B87" t="str">
        <f>HYPERLINK("い/い　遺尿　成書年未詳　灸穴集　著者未詳.jpg")</f>
        <v>い/い　遺尿　成書年未詳　灸穴集　著者未詳.jpg</v>
      </c>
    </row>
    <row r="88" spans="1:2" x14ac:dyDescent="0.15">
      <c r="A88" t="s">
        <v>73</v>
      </c>
      <c r="B88" t="str">
        <f>HYPERLINK("い/い　遺溺　1680　鍼灸抜萃　著者未詳.jpg")</f>
        <v>い/い　遺溺　1680　鍼灸抜萃　著者未詳.jpg</v>
      </c>
    </row>
    <row r="89" spans="1:2" x14ac:dyDescent="0.15">
      <c r="A89" t="s">
        <v>74</v>
      </c>
      <c r="B89" t="str">
        <f>HYPERLINK("い/い　遺溺　1696　広益鍼灸抜萃　著者未詳.jpg")</f>
        <v>い/い　遺溺　1696　広益鍼灸抜萃　著者未詳.jpg</v>
      </c>
    </row>
    <row r="90" spans="1:2" x14ac:dyDescent="0.15">
      <c r="A90" t="s">
        <v>75</v>
      </c>
      <c r="B90" t="str">
        <f>HYPERLINK("い/い　遺溺　1718　いばりたれ　鍼灸重宝記　本郷正豊.jpg")</f>
        <v>い/い　遺溺　1718　いばりたれ　鍼灸重宝記　本郷正豊.jpg</v>
      </c>
    </row>
    <row r="91" spans="1:2" x14ac:dyDescent="0.15">
      <c r="A91" t="s">
        <v>76</v>
      </c>
      <c r="B91" t="str">
        <f>HYPERLINK("い/い　遺溺　1767　鍼灸則　菅沼周桂.jpg")</f>
        <v>い/い　遺溺　1767　鍼灸則　菅沼周桂.jpg</v>
      </c>
    </row>
    <row r="92" spans="1:2" x14ac:dyDescent="0.15">
      <c r="A92" t="s">
        <v>77</v>
      </c>
      <c r="B92" t="str">
        <f>HYPERLINK("い/い　遺溺　1773　鍼灸手引草　大簡室主人.jpg")</f>
        <v>い/い　遺溺　1773　鍼灸手引草　大簡室主人.jpg</v>
      </c>
    </row>
    <row r="93" spans="1:2" x14ac:dyDescent="0.15">
      <c r="A93" t="s">
        <v>78</v>
      </c>
      <c r="B93" t="str">
        <f>HYPERLINK("い/い　遺溺　1792　鍼法要集　源長起_ページ_1.jpg")</f>
        <v>い/い　遺溺　1792　鍼法要集　源長起_ページ_1.jpg</v>
      </c>
    </row>
    <row r="94" spans="1:2" x14ac:dyDescent="0.15">
      <c r="A94" t="s">
        <v>5509</v>
      </c>
      <c r="B94" t="str">
        <f>HYPERLINK("い/い　遺溺　1792　鍼法要集　源長起_ページ_2.jpg")</f>
        <v>い/い　遺溺　1792　鍼法要集　源長起_ページ_2.jpg</v>
      </c>
    </row>
    <row r="95" spans="1:2" x14ac:dyDescent="0.15">
      <c r="A95" t="s">
        <v>79</v>
      </c>
      <c r="B95" t="str">
        <f>HYPERLINK("い/い　遺濁　1693　鍼灸要歌集　安井昌玄.jpg")</f>
        <v>い/い　遺濁　1693　鍼灸要歌集　安井昌玄.jpg</v>
      </c>
    </row>
    <row r="96" spans="1:2" x14ac:dyDescent="0.15">
      <c r="A96" t="s">
        <v>80</v>
      </c>
      <c r="B96" t="str">
        <f>HYPERLINK("い/い　遺精　1563　鍼灸集要　曲直瀬道三.jpg")</f>
        <v>い/い　遺精　1563　鍼灸集要　曲直瀬道三.jpg</v>
      </c>
    </row>
    <row r="97" spans="1:2" x14ac:dyDescent="0.15">
      <c r="A97" t="s">
        <v>81</v>
      </c>
      <c r="B97" t="str">
        <f>HYPERLINK("い/い　遺精　1680　鍼灸抜萃　著者未詳.jpg")</f>
        <v>い/い　遺精　1680　鍼灸抜萃　著者未詳.jpg</v>
      </c>
    </row>
    <row r="98" spans="1:2" x14ac:dyDescent="0.15">
      <c r="A98" t="s">
        <v>82</v>
      </c>
      <c r="B98" t="str">
        <f>HYPERLINK("い/い　遺精　1693　鍼灸要歌集　安井昌玄.jpg")</f>
        <v>い/い　遺精　1693　鍼灸要歌集　安井昌玄.jpg</v>
      </c>
    </row>
    <row r="99" spans="1:2" x14ac:dyDescent="0.15">
      <c r="A99" t="s">
        <v>83</v>
      </c>
      <c r="B99" t="str">
        <f>HYPERLINK("い/い　遺精　1694　夢に精泄るる事　療治之大概集　杉山和一.jpg")</f>
        <v>い/い　遺精　1694　夢に精泄るる事　療治之大概集　杉山和一.jpg</v>
      </c>
    </row>
    <row r="100" spans="1:2" x14ac:dyDescent="0.15">
      <c r="A100" t="s">
        <v>84</v>
      </c>
      <c r="B100" t="str">
        <f>HYPERLINK("い/い　遺精　1694　鍼灸そかい集　高津敬節.jpg")</f>
        <v>い/い　遺精　1694　鍼灸そかい集　高津敬節.jpg</v>
      </c>
    </row>
    <row r="101" spans="1:2" x14ac:dyDescent="0.15">
      <c r="A101" t="s">
        <v>85</v>
      </c>
      <c r="B101" t="str">
        <f>HYPERLINK("い/い　遺精　1696　広益鍼灸抜萃　著者未詳_ページ_1.jpg")</f>
        <v>い/い　遺精　1696　広益鍼灸抜萃　著者未詳_ページ_1.jpg</v>
      </c>
    </row>
    <row r="102" spans="1:2" x14ac:dyDescent="0.15">
      <c r="A102" t="s">
        <v>86</v>
      </c>
      <c r="B102" t="str">
        <f>HYPERLINK("い/い　遺精　1696　広益鍼灸抜萃　著者未詳_ページ_2.jpg")</f>
        <v>い/い　遺精　1696　広益鍼灸抜萃　著者未詳_ページ_2.jpg</v>
      </c>
    </row>
    <row r="103" spans="1:2" x14ac:dyDescent="0.15">
      <c r="A103" t="s">
        <v>87</v>
      </c>
      <c r="B103" t="str">
        <f>HYPERLINK("い/い　遺精　1698　鍼灸抜粋大成　岡本一抱.jpg")</f>
        <v>い/い　遺精　1698　鍼灸抜粋大成　岡本一抱.jpg</v>
      </c>
    </row>
    <row r="104" spans="1:2" x14ac:dyDescent="0.15">
      <c r="A104" t="s">
        <v>88</v>
      </c>
      <c r="B104" t="str">
        <f>HYPERLINK("い/い　遺精　1718　もうざうをみる　鍼灸重宝記　本郷正豊.jpg")</f>
        <v>い/い　遺精　1718　もうざうをみる　鍼灸重宝記　本郷正豊.jpg</v>
      </c>
    </row>
    <row r="105" spans="1:2" x14ac:dyDescent="0.15">
      <c r="A105" t="s">
        <v>89</v>
      </c>
      <c r="B105" t="str">
        <f>HYPERLINK("い/い　遺精　1773　鍼灸手引草　大簡室主人_ページ_1.jpg")</f>
        <v>い/い　遺精　1773　鍼灸手引草　大簡室主人_ページ_1.jpg</v>
      </c>
    </row>
    <row r="106" spans="1:2" x14ac:dyDescent="0.15">
      <c r="A106" t="s">
        <v>90</v>
      </c>
      <c r="B106" t="str">
        <f>HYPERLINK("い/い　遺精　1773　鍼灸手引草　大簡室主人_ページ_2.jpg")</f>
        <v>い/い　遺精　1773　鍼灸手引草　大簡室主人_ページ_2.jpg</v>
      </c>
    </row>
    <row r="107" spans="1:2" x14ac:dyDescent="0.15">
      <c r="A107" t="s">
        <v>91</v>
      </c>
      <c r="B107" t="str">
        <f>HYPERLINK("い/い　遺精　1780　路（おおいに）（露（あらわれて）また羸（るい）の義）せつ（泄）する人　鍼灸極秘伝　木村太沖.jpg")</f>
        <v>い/い　遺精　1780　路（おおいに）（露（あらわれて）また羸（るい）の義）せつ（泄）する人　鍼灸極秘伝　木村太沖.jpg</v>
      </c>
    </row>
    <row r="108" spans="1:2" x14ac:dyDescent="0.15">
      <c r="A108" t="s">
        <v>92</v>
      </c>
      <c r="B108" t="str">
        <f>HYPERLINK("い/い　遺精　1792　鍼法要集　源長起.jpg")</f>
        <v>い/い　遺精　1792　鍼法要集　源長起.jpg</v>
      </c>
    </row>
    <row r="109" spans="1:2" x14ac:dyDescent="0.15">
      <c r="A109" t="s">
        <v>93</v>
      </c>
      <c r="B109" t="str">
        <f>HYPERLINK("い/い　遺精　1813　名家灸選　浅井惟亨.jpg")</f>
        <v>い/い　遺精　1813　名家灸選　浅井惟亨.jpg</v>
      </c>
    </row>
    <row r="110" spans="1:2" x14ac:dyDescent="0.15">
      <c r="A110" t="s">
        <v>94</v>
      </c>
      <c r="B110" t="str">
        <f>HYPERLINK("い/い　遺精　夢遺　1669　鍼灸枢要　山本玄通_ページ_1.jpg")</f>
        <v>い/い　遺精　夢遺　1669　鍼灸枢要　山本玄通_ページ_1.jpg</v>
      </c>
    </row>
    <row r="111" spans="1:2" x14ac:dyDescent="0.15">
      <c r="A111" t="s">
        <v>95</v>
      </c>
      <c r="B111" t="str">
        <f>HYPERLINK("い/い　遺精　夢遺　1669　鍼灸枢要　山本玄通_ページ_2.jpg")</f>
        <v>い/い　遺精　夢遺　1669　鍼灸枢要　山本玄通_ページ_2.jpg</v>
      </c>
    </row>
    <row r="112" spans="1:2" x14ac:dyDescent="0.15">
      <c r="A112" t="s">
        <v>96</v>
      </c>
      <c r="B112" t="str">
        <f>HYPERLINK("い/い　遺精　白濁　1686　鍼灸要法指南　岩田利斎_ページ_1.jpg")</f>
        <v>い/い　遺精　白濁　1686　鍼灸要法指南　岩田利斎_ページ_1.jpg</v>
      </c>
    </row>
    <row r="113" spans="1:2" x14ac:dyDescent="0.15">
      <c r="A113" t="s">
        <v>97</v>
      </c>
      <c r="B113" t="str">
        <f>HYPERLINK("い/い　遺精　白濁　1686　鍼灸要法指南　岩田利斎_ページ_2.jpg")</f>
        <v>い/い　遺精　白濁　1686　鍼灸要法指南　岩田利斎_ページ_2.jpg</v>
      </c>
    </row>
    <row r="114" spans="1:2" x14ac:dyDescent="0.15">
      <c r="A114" t="s">
        <v>98</v>
      </c>
      <c r="B114" t="str">
        <f>HYPERLINK("い/いつ　噎症　1765　鍼法弁惑　藤井秀孟_ページ_1.jpg")</f>
        <v>い/いつ　噎症　1765　鍼法弁惑　藤井秀孟_ページ_1.jpg</v>
      </c>
    </row>
    <row r="115" spans="1:2" x14ac:dyDescent="0.15">
      <c r="A115" t="s">
        <v>99</v>
      </c>
      <c r="B115" t="str">
        <f>HYPERLINK("い/いつ　噎症　1765　鍼法弁惑　藤井秀孟_ページ_2.jpg")</f>
        <v>い/いつ　噎症　1765　鍼法弁惑　藤井秀孟_ページ_2.jpg</v>
      </c>
    </row>
    <row r="116" spans="1:2" x14ac:dyDescent="0.15">
      <c r="A116" t="s">
        <v>100</v>
      </c>
      <c r="B116" t="str">
        <f>HYPERLINK("い/いつ　噎膈　1563　鍼灸集要　曲直瀬道三.jpg")</f>
        <v>い/いつ　噎膈　1563　鍼灸集要　曲直瀬道三.jpg</v>
      </c>
    </row>
    <row r="117" spans="1:2" x14ac:dyDescent="0.15">
      <c r="A117" t="s">
        <v>101</v>
      </c>
      <c r="B117" t="str">
        <f>HYPERLINK("い/いつ　噎膈　1761　挨穴捷径　杉原敦_ページ_1.jpg")</f>
        <v>い/いつ　噎膈　1761　挨穴捷径　杉原敦_ページ_1.jpg</v>
      </c>
    </row>
    <row r="118" spans="1:2" x14ac:dyDescent="0.15">
      <c r="A118" t="s">
        <v>102</v>
      </c>
      <c r="B118" t="str">
        <f>HYPERLINK("い/いつ　噎膈　1761　挨穴捷径　杉原敦_ページ_2.jpg")</f>
        <v>い/いつ　噎膈　1761　挨穴捷径　杉原敦_ページ_2.jpg</v>
      </c>
    </row>
    <row r="119" spans="1:2" x14ac:dyDescent="0.15">
      <c r="A119" t="s">
        <v>103</v>
      </c>
      <c r="B119" t="str">
        <f>HYPERLINK("い/いつ　噎膈　翻胃　1669　鍼灸枢要　山本玄通_ページ_1.jpg")</f>
        <v>い/いつ　噎膈　翻胃　1669　鍼灸枢要　山本玄通_ページ_1.jpg</v>
      </c>
    </row>
    <row r="120" spans="1:2" x14ac:dyDescent="0.15">
      <c r="A120" t="s">
        <v>104</v>
      </c>
      <c r="B120" t="str">
        <f>HYPERLINK("い/いつ　噎膈　翻胃　1669　鍼灸枢要　山本玄通_ページ_2.jpg")</f>
        <v>い/いつ　噎膈　翻胃　1669　鍼灸枢要　山本玄通_ページ_2.jpg</v>
      </c>
    </row>
    <row r="121" spans="1:2" x14ac:dyDescent="0.15">
      <c r="A121" t="s">
        <v>105</v>
      </c>
      <c r="B121" t="str">
        <f>HYPERLINK("い/いつ　噎膈　翻胃　1669　鍼灸枢要　山本玄通_ページ_3.jpg")</f>
        <v>い/いつ　噎膈　翻胃　1669　鍼灸枢要　山本玄通_ページ_3.jpg</v>
      </c>
    </row>
    <row r="122" spans="1:2" x14ac:dyDescent="0.15">
      <c r="A122" t="s">
        <v>106</v>
      </c>
      <c r="B122" t="str">
        <f>HYPERLINK("い/いつ　噎膈　翻胃　1669　鍼灸枢要　山本玄通_ページ_4.jpg")</f>
        <v>い/いつ　噎膈　翻胃　1669　鍼灸枢要　山本玄通_ページ_4.jpg</v>
      </c>
    </row>
    <row r="123" spans="1:2" x14ac:dyDescent="0.15">
      <c r="A123" t="s">
        <v>107</v>
      </c>
      <c r="B123" t="str">
        <f>HYPERLINK("い/いつ　噎膈　翻胃　1669　鍼灸枢要　山本玄通_ページ_5.jpg")</f>
        <v>い/いつ　噎膈　翻胃　1669　鍼灸枢要　山本玄通_ページ_5.jpg</v>
      </c>
    </row>
    <row r="124" spans="1:2" x14ac:dyDescent="0.15">
      <c r="A124" t="s">
        <v>108</v>
      </c>
      <c r="B124" t="str">
        <f>HYPERLINK("い/いつ　噎膈　翻胃　1669　鍼灸枢要　山本玄通_ページ_6.jpg")</f>
        <v>い/いつ　噎膈　翻胃　1669　鍼灸枢要　山本玄通_ページ_6.jpg</v>
      </c>
    </row>
    <row r="125" spans="1:2" x14ac:dyDescent="0.15">
      <c r="A125" t="s">
        <v>109</v>
      </c>
      <c r="B125" t="str">
        <f>HYPERLINK("い/いつ　噎膈　翻胃　1800　鍼灸備要　小坂元祐_ページ_1.jpg")</f>
        <v>い/いつ　噎膈　翻胃　1800　鍼灸備要　小坂元祐_ページ_1.jpg</v>
      </c>
    </row>
    <row r="126" spans="1:2" x14ac:dyDescent="0.15">
      <c r="A126" t="s">
        <v>110</v>
      </c>
      <c r="B126" t="str">
        <f>HYPERLINK("い/いつ　噎膈　翻胃　1800　鍼灸備要　小坂元祐_ページ_2.jpg")</f>
        <v>い/いつ　噎膈　翻胃　1800　鍼灸備要　小坂元祐_ページ_2.jpg</v>
      </c>
    </row>
    <row r="127" spans="1:2" x14ac:dyDescent="0.15">
      <c r="A127" t="s">
        <v>111</v>
      </c>
      <c r="B127" t="str">
        <f>HYPERLINK("い/いつ　噎隔　1624　類経図翼　明・張介賓_ページ_1.jpg")</f>
        <v>い/いつ　噎隔　1624　類経図翼　明・張介賓_ページ_1.jpg</v>
      </c>
    </row>
    <row r="128" spans="1:2" x14ac:dyDescent="0.15">
      <c r="A128" t="s">
        <v>112</v>
      </c>
      <c r="B128" t="str">
        <f>HYPERLINK("い/いつ　噎隔　1624　類経図翼　明・張介賓_ページ_2.jpg")</f>
        <v>い/いつ　噎隔　1624　類経図翼　明・張介賓_ページ_2.jpg</v>
      </c>
    </row>
    <row r="129" spans="1:2" x14ac:dyDescent="0.15">
      <c r="A129" t="s">
        <v>113</v>
      </c>
      <c r="B129" t="str">
        <f>HYPERLINK("い/いん　いん疹　1773　鍼灸手引草　大簡室主人.jpg")</f>
        <v>い/いん　いん疹　1773　鍼灸手引草　大簡室主人.jpg</v>
      </c>
    </row>
    <row r="130" spans="1:2" x14ac:dyDescent="0.15">
      <c r="A130" t="s">
        <v>114</v>
      </c>
      <c r="B130" t="str">
        <f>HYPERLINK("い/いん　いん＝（やまいだれ＋音）　1299　不能言　続添要穴集　惟宗時俊.jpg")</f>
        <v>い/いん　いん＝（やまいだれ＋音）　1299　不能言　続添要穴集　惟宗時俊.jpg</v>
      </c>
    </row>
    <row r="131" spans="1:2" x14ac:dyDescent="0.15">
      <c r="A131" t="s">
        <v>115</v>
      </c>
      <c r="B131" t="str">
        <f>HYPERLINK("い/いん　いん＝（やまいだれ＋音）　1669　鍼灸枢要　山本玄通_ページ_1.jpg")</f>
        <v>い/いん　いん＝（やまいだれ＋音）　1669　鍼灸枢要　山本玄通_ページ_1.jpg</v>
      </c>
    </row>
    <row r="132" spans="1:2" x14ac:dyDescent="0.15">
      <c r="A132" t="s">
        <v>116</v>
      </c>
      <c r="B132" t="str">
        <f>HYPERLINK("い/いん　いん＝（やまいだれ＋音）　1669　鍼灸枢要　山本玄通_ページ_2.jpg")</f>
        <v>い/いん　いん＝（やまいだれ＋音）　1669　鍼灸枢要　山本玄通_ページ_2.jpg</v>
      </c>
    </row>
    <row r="133" spans="1:2" x14ac:dyDescent="0.15">
      <c r="A133" t="s">
        <v>117</v>
      </c>
      <c r="B133" t="str">
        <f>HYPERLINK("い/いん　いん＝（やまいだれ＋音）　1669　鍼灸枢要　山本玄通_ページ_3.jpg")</f>
        <v>い/いん　いん＝（やまいだれ＋音）　1669　鍼灸枢要　山本玄通_ページ_3.jpg</v>
      </c>
    </row>
    <row r="134" spans="1:2" x14ac:dyDescent="0.15">
      <c r="A134" t="s">
        <v>118</v>
      </c>
      <c r="B134" t="str">
        <f>HYPERLINK("い/いん　いん＝（やまいだれ＋音）　1669　鍼灸枢要　山本玄通_ページ_4.jpg")</f>
        <v>い/いん　いん＝（やまいだれ＋音）　1669　鍼灸枢要　山本玄通_ページ_4.jpg</v>
      </c>
    </row>
    <row r="135" spans="1:2" x14ac:dyDescent="0.15">
      <c r="A135" t="s">
        <v>119</v>
      </c>
      <c r="B135" t="str">
        <f>HYPERLINK("い/いん　いん＝（やまいだれ＋音）　1669　鍼灸枢要　山本玄通_ページ_5.jpg")</f>
        <v>い/いん　いん＝（やまいだれ＋音）　1669　鍼灸枢要　山本玄通_ページ_5.jpg</v>
      </c>
    </row>
    <row r="136" spans="1:2" x14ac:dyDescent="0.15">
      <c r="A136" t="s">
        <v>120</v>
      </c>
      <c r="B136" t="str">
        <f>HYPERLINK("い/いん　いん＝（やまいだれ＋音）　●寒気客於厭発いん不能言　第二　0300　鍼灸甲乙経　皇甫謐_ページ_1.jpg")</f>
        <v>い/いん　いん＝（やまいだれ＋音）　●寒気客於厭発いん不能言　第二　0300　鍼灸甲乙経　皇甫謐_ページ_1.jpg</v>
      </c>
    </row>
    <row r="137" spans="1:2" x14ac:dyDescent="0.15">
      <c r="A137" t="s">
        <v>121</v>
      </c>
      <c r="B137" t="str">
        <f>HYPERLINK("い/いん　いん＝（やまいだれ＋音）　●寒気客於厭発いん不能言　第二　0300　鍼灸甲乙経　皇甫謐_ページ_2.jpg")</f>
        <v>い/いん　いん＝（やまいだれ＋音）　●寒気客於厭発いん不能言　第二　0300　鍼灸甲乙経　皇甫謐_ページ_2.jpg</v>
      </c>
    </row>
    <row r="138" spans="1:2" x14ac:dyDescent="0.15">
      <c r="A138" t="s">
        <v>122</v>
      </c>
      <c r="B138" t="str">
        <f>HYPERLINK("い/いん　いん＝（やまいだれ＋音）あ　1329　扁鵲神応鍼灸玉龍経　元・王国瑞_ページ_1.jpg")</f>
        <v>い/いん　いん＝（やまいだれ＋音）あ　1329　扁鵲神応鍼灸玉龍経　元・王国瑞_ページ_1.jpg</v>
      </c>
    </row>
    <row r="139" spans="1:2" x14ac:dyDescent="0.15">
      <c r="A139" t="s">
        <v>123</v>
      </c>
      <c r="B139" t="str">
        <f>HYPERLINK("い/いん　いん＝（やまいだれ＋音）あ　1329　扁鵲神応鍼灸玉龍経　元・王国瑞_ページ_2.jpg")</f>
        <v>い/いん　いん＝（やまいだれ＋音）あ　1329　扁鵲神応鍼灸玉龍経　元・王国瑞_ページ_2.jpg</v>
      </c>
    </row>
    <row r="140" spans="1:2" x14ac:dyDescent="0.15">
      <c r="A140" t="s">
        <v>124</v>
      </c>
      <c r="B140" t="str">
        <f>HYPERLINK("い/いん　いん＝（やまいだれ＋音）あ　1624　類経図翼　明・張介賓.jpg")</f>
        <v>い/いん　いん＝（やまいだれ＋音）あ　1624　類経図翼　明・張介賓.jpg</v>
      </c>
    </row>
    <row r="141" spans="1:2" x14ac:dyDescent="0.15">
      <c r="A141" t="s">
        <v>125</v>
      </c>
      <c r="B141" t="str">
        <f>HYPERLINK("い/いん　いん＝（やまいだれ＋音）あ　1694　選鍼三要集　杉山和一.jpg")</f>
        <v>い/いん　いん＝（やまいだれ＋音）あ　1694　選鍼三要集　杉山和一.jpg</v>
      </c>
    </row>
    <row r="142" spans="1:2" x14ac:dyDescent="0.15">
      <c r="A142" t="s">
        <v>126</v>
      </c>
      <c r="B142" t="str">
        <f>HYPERLINK("い/いん　いん＝（やまいだれ＋音）唖（えんあ）　おおし　いん唖　1887（明治20）　鍼灸備要　青山道醇.jpg")</f>
        <v>い/いん　いん＝（やまいだれ＋音）唖（えんあ）　おおし　いん唖　1887（明治20）　鍼灸備要　青山道醇.jpg</v>
      </c>
    </row>
    <row r="143" spans="1:2" x14ac:dyDescent="0.15">
      <c r="A143" t="s">
        <v>127</v>
      </c>
      <c r="B143" t="str">
        <f>HYPERLINK("い/いん　咽喉　1220　咽喉乾　鍼灸資生経　王執中.jpg")</f>
        <v>い/いん　咽喉　1220　咽喉乾　鍼灸資生経　王執中.jpg</v>
      </c>
    </row>
    <row r="144" spans="1:2" x14ac:dyDescent="0.15">
      <c r="A144" t="s">
        <v>128</v>
      </c>
      <c r="B144" t="str">
        <f>HYPERLINK("い/いん　咽喉　1220　咽喉腫痛（生瘡）　鍼灸資生経　王執中_ページ_1.jpg")</f>
        <v>い/いん　咽喉　1220　咽喉腫痛（生瘡）　鍼灸資生経　王執中_ページ_1.jpg</v>
      </c>
    </row>
    <row r="145" spans="1:2" x14ac:dyDescent="0.15">
      <c r="A145" t="s">
        <v>129</v>
      </c>
      <c r="B145" t="str">
        <f>HYPERLINK("い/いん　咽喉　1220　咽喉腫痛（生瘡）　鍼灸資生経　王執中_ページ_2.jpg")</f>
        <v>い/いん　咽喉　1220　咽喉腫痛（生瘡）　鍼灸資生経　王執中_ページ_2.jpg</v>
      </c>
    </row>
    <row r="146" spans="1:2" x14ac:dyDescent="0.15">
      <c r="A146" t="s">
        <v>130</v>
      </c>
      <c r="B146" t="str">
        <f>HYPERLINK("い/いん　咽喉　1425　神応経　明・陳会撰・劉瑾重校_ページ_1.jpg")</f>
        <v>い/いん　咽喉　1425　神応経　明・陳会撰・劉瑾重校_ページ_1.jpg</v>
      </c>
    </row>
    <row r="147" spans="1:2" x14ac:dyDescent="0.15">
      <c r="A147" t="s">
        <v>131</v>
      </c>
      <c r="B147" t="str">
        <f>HYPERLINK("い/いん　咽喉　1425　神応経　明・陳会撰・劉瑾重校_ページ_2.jpg")</f>
        <v>い/いん　咽喉　1425　神応経　明・陳会撰・劉瑾重校_ページ_2.jpg</v>
      </c>
    </row>
    <row r="148" spans="1:2" x14ac:dyDescent="0.15">
      <c r="A148" t="s">
        <v>132</v>
      </c>
      <c r="B148" t="str">
        <f>HYPERLINK("い/いん　咽喉　1574　兪穴参伍的法　秦宗巴_ページ_1.jpg")</f>
        <v>い/いん　咽喉　1574　兪穴参伍的法　秦宗巴_ページ_1.jpg</v>
      </c>
    </row>
    <row r="149" spans="1:2" x14ac:dyDescent="0.15">
      <c r="A149" t="s">
        <v>133</v>
      </c>
      <c r="B149" t="str">
        <f>HYPERLINK("い/いん　咽喉　1574　兪穴参伍的法　秦宗巴_ページ_2.jpg")</f>
        <v>い/いん　咽喉　1574　兪穴参伍的法　秦宗巴_ページ_2.jpg</v>
      </c>
    </row>
    <row r="150" spans="1:2" x14ac:dyDescent="0.15">
      <c r="A150" t="s">
        <v>134</v>
      </c>
      <c r="B150" t="str">
        <f>HYPERLINK("い/いん　咽喉　1669　鍼灸枢要　山本玄通_ページ_1.jpg")</f>
        <v>い/いん　咽喉　1669　鍼灸枢要　山本玄通_ページ_1.jpg</v>
      </c>
    </row>
    <row r="151" spans="1:2" x14ac:dyDescent="0.15">
      <c r="A151" t="s">
        <v>135</v>
      </c>
      <c r="B151" t="str">
        <f>HYPERLINK("い/いん　咽喉　1669　鍼灸枢要　山本玄通_ページ_2.jpg")</f>
        <v>い/いん　咽喉　1669　鍼灸枢要　山本玄通_ページ_2.jpg</v>
      </c>
    </row>
    <row r="152" spans="1:2" x14ac:dyDescent="0.15">
      <c r="A152" t="s">
        <v>136</v>
      </c>
      <c r="B152" t="str">
        <f>HYPERLINK("い/いん　咽喉　1669　鍼灸枢要　山本玄通_ページ_3.jpg")</f>
        <v>い/いん　咽喉　1669　鍼灸枢要　山本玄通_ページ_3.jpg</v>
      </c>
    </row>
    <row r="153" spans="1:2" x14ac:dyDescent="0.15">
      <c r="A153" t="s">
        <v>137</v>
      </c>
      <c r="B153" t="str">
        <f>HYPERLINK("い/いん　咽喉　1669　鍼灸枢要　山本玄通_ページ_4.jpg")</f>
        <v>い/いん　咽喉　1669　鍼灸枢要　山本玄通_ページ_4.jpg</v>
      </c>
    </row>
    <row r="154" spans="1:2" x14ac:dyDescent="0.15">
      <c r="A154" t="s">
        <v>138</v>
      </c>
      <c r="B154" t="str">
        <f>HYPERLINK("い/いん　咽喉　1669　鍼灸枢要　山本玄通_ページ_5.jpg")</f>
        <v>い/いん　咽喉　1669　鍼灸枢要　山本玄通_ページ_5.jpg</v>
      </c>
    </row>
    <row r="155" spans="1:2" x14ac:dyDescent="0.15">
      <c r="A155" t="s">
        <v>139</v>
      </c>
      <c r="B155" t="str">
        <f>HYPERLINK("い/いん　咽喉　1669　鍼灸枢要　山本玄通_ページ_6.jpg")</f>
        <v>い/いん　咽喉　1669　鍼灸枢要　山本玄通_ページ_6.jpg</v>
      </c>
    </row>
    <row r="156" spans="1:2" x14ac:dyDescent="0.15">
      <c r="A156" t="s">
        <v>140</v>
      </c>
      <c r="B156" t="str">
        <f>HYPERLINK("い/いん　咽喉　1679　鍼法奇貨　渡辺東伯_ページ_1.jpg")</f>
        <v>い/いん　咽喉　1679　鍼法奇貨　渡辺東伯_ページ_1.jpg</v>
      </c>
    </row>
    <row r="157" spans="1:2" x14ac:dyDescent="0.15">
      <c r="A157" t="s">
        <v>141</v>
      </c>
      <c r="B157" t="str">
        <f>HYPERLINK("い/いん　咽喉　1679　鍼法奇貨　渡辺東伯_ページ_2.jpg")</f>
        <v>い/いん　咽喉　1679　鍼法奇貨　渡辺東伯_ページ_2.jpg</v>
      </c>
    </row>
    <row r="158" spans="1:2" x14ac:dyDescent="0.15">
      <c r="A158" t="s">
        <v>142</v>
      </c>
      <c r="B158" t="str">
        <f>HYPERLINK("い/いん　咽喉　1679　鍼法奇貨　渡辺東伯_ページ_3.jpg")</f>
        <v>い/いん　咽喉　1679　鍼法奇貨　渡辺東伯_ページ_3.jpg</v>
      </c>
    </row>
    <row r="159" spans="1:2" x14ac:dyDescent="0.15">
      <c r="A159" t="s">
        <v>143</v>
      </c>
      <c r="B159" t="str">
        <f>HYPERLINK("い/いん　咽喉　1679　鍼法奇貨　渡辺東伯_ページ_4.jpg")</f>
        <v>い/いん　咽喉　1679　鍼法奇貨　渡辺東伯_ページ_4.jpg</v>
      </c>
    </row>
    <row r="160" spans="1:2" x14ac:dyDescent="0.15">
      <c r="A160" t="s">
        <v>144</v>
      </c>
      <c r="B160" t="str">
        <f>HYPERLINK("い/いん　咽喉　1679　鍼法奇貨　渡辺東伯_ページ_5.jpg")</f>
        <v>い/いん　咽喉　1679　鍼法奇貨　渡辺東伯_ページ_5.jpg</v>
      </c>
    </row>
    <row r="161" spans="1:2" x14ac:dyDescent="0.15">
      <c r="A161" t="s">
        <v>145</v>
      </c>
      <c r="B161" t="str">
        <f>HYPERLINK("い/いん　咽喉　1680　鍼灸抜萃　著者未詳.jpg")</f>
        <v>い/いん　咽喉　1680　鍼灸抜萃　著者未詳.jpg</v>
      </c>
    </row>
    <row r="162" spans="1:2" x14ac:dyDescent="0.15">
      <c r="A162" t="s">
        <v>146</v>
      </c>
      <c r="B162" t="str">
        <f>HYPERLINK("い/いん　咽喉　1686　鍼灸要法指南　岩田利斎_ページ_1.jpg")</f>
        <v>い/いん　咽喉　1686　鍼灸要法指南　岩田利斎_ページ_1.jpg</v>
      </c>
    </row>
    <row r="163" spans="1:2" x14ac:dyDescent="0.15">
      <c r="A163" t="s">
        <v>147</v>
      </c>
      <c r="B163" t="str">
        <f>HYPERLINK("い/いん　咽喉　1686　鍼灸要法指南　岩田利斎_ページ_2.jpg")</f>
        <v>い/いん　咽喉　1686　鍼灸要法指南　岩田利斎_ページ_2.jpg</v>
      </c>
    </row>
    <row r="164" spans="1:2" x14ac:dyDescent="0.15">
      <c r="A164" t="s">
        <v>148</v>
      </c>
      <c r="B164" t="str">
        <f>HYPERLINK("い/いん　咽喉　1693　鍼灸要歌集　安井昌玄.jpg")</f>
        <v>い/いん　咽喉　1693　鍼灸要歌集　安井昌玄.jpg</v>
      </c>
    </row>
    <row r="165" spans="1:2" x14ac:dyDescent="0.15">
      <c r="A165" t="s">
        <v>149</v>
      </c>
      <c r="B165" t="str">
        <f>HYPERLINK("い/いん　咽喉　1696　広益鍼灸抜萃　著者未詳.jpg")</f>
        <v>い/いん　咽喉　1696　広益鍼灸抜萃　著者未詳.jpg</v>
      </c>
    </row>
    <row r="166" spans="1:2" x14ac:dyDescent="0.15">
      <c r="A166" t="s">
        <v>150</v>
      </c>
      <c r="B166" t="str">
        <f>HYPERLINK("い/いん　咽喉　1718　のんどのやまひ　鍼灸重宝記　本郷正豊.jpg")</f>
        <v>い/いん　咽喉　1718　のんどのやまひ　鍼灸重宝記　本郷正豊.jpg</v>
      </c>
    </row>
    <row r="167" spans="1:2" x14ac:dyDescent="0.15">
      <c r="A167" t="s">
        <v>151</v>
      </c>
      <c r="B167" t="str">
        <f>HYPERLINK("い/いん　咽喉　1767　鍼灸則　菅沼周桂.jpg")</f>
        <v>い/いん　咽喉　1767　鍼灸則　菅沼周桂.jpg</v>
      </c>
    </row>
    <row r="168" spans="1:2" x14ac:dyDescent="0.15">
      <c r="A168" t="s">
        <v>152</v>
      </c>
      <c r="B168" t="str">
        <f>HYPERLINK("い/いん　咽喉　1773　鍼灸手引草　大簡室主人_ページ_1.jpg")</f>
        <v>い/いん　咽喉　1773　鍼灸手引草　大簡室主人_ページ_1.jpg</v>
      </c>
    </row>
    <row r="169" spans="1:2" x14ac:dyDescent="0.15">
      <c r="A169" t="s">
        <v>153</v>
      </c>
      <c r="B169" t="str">
        <f>HYPERLINK("い/いん　咽喉　1773　鍼灸手引草　大簡室主人_ページ_2.jpg")</f>
        <v>い/いん　咽喉　1773　鍼灸手引草　大簡室主人_ページ_2.jpg</v>
      </c>
    </row>
    <row r="170" spans="1:2" x14ac:dyDescent="0.15">
      <c r="A170" t="s">
        <v>154</v>
      </c>
      <c r="B170" t="str">
        <f>HYPERLINK("い/いん　咽喉　1792　鍼法要集　源長起_ページ_1.jpg")</f>
        <v>い/いん　咽喉　1792　鍼法要集　源長起_ページ_1.jpg</v>
      </c>
    </row>
    <row r="171" spans="1:2" x14ac:dyDescent="0.15">
      <c r="A171" t="s">
        <v>155</v>
      </c>
      <c r="B171" t="str">
        <f>HYPERLINK("い/いん　咽喉　1792　鍼法要集　源長起_ページ_2.jpg")</f>
        <v>い/いん　咽喉　1792　鍼法要集　源長起_ページ_2.jpg</v>
      </c>
    </row>
    <row r="172" spans="1:2" x14ac:dyDescent="0.15">
      <c r="A172" t="s">
        <v>156</v>
      </c>
      <c r="B172" t="str">
        <f>HYPERLINK("い/いん　咽喉　1792　鍼法要集　源長起_ページ_3.jpg")</f>
        <v>い/いん　咽喉　1792　鍼法要集　源長起_ページ_3.jpg</v>
      </c>
    </row>
    <row r="173" spans="1:2" x14ac:dyDescent="0.15">
      <c r="A173" t="s">
        <v>157</v>
      </c>
      <c r="B173" t="str">
        <f>HYPERLINK("い/いん　咽喉　1800　鍼灸備要　小坂元祐_ページ_1.jpg")</f>
        <v>い/いん　咽喉　1800　鍼灸備要　小坂元祐_ページ_1.jpg</v>
      </c>
    </row>
    <row r="174" spans="1:2" x14ac:dyDescent="0.15">
      <c r="A174" t="s">
        <v>158</v>
      </c>
      <c r="B174" t="str">
        <f>HYPERLINK("い/いん　咽喉　1800　鍼灸備要　小坂元祐_ページ_2.jpg")</f>
        <v>い/いん　咽喉　1800　鍼灸備要　小坂元祐_ページ_2.jpg</v>
      </c>
    </row>
    <row r="175" spans="1:2" x14ac:dyDescent="0.15">
      <c r="A175" t="s">
        <v>159</v>
      </c>
      <c r="B175" t="str">
        <f>HYPERLINK("い/いん　咽喉　1807　続名家灸選　平井庸信_ページ_1.jpg")</f>
        <v>い/いん　咽喉　1807　続名家灸選　平井庸信_ページ_1.jpg</v>
      </c>
    </row>
    <row r="176" spans="1:2" x14ac:dyDescent="0.15">
      <c r="A176" t="s">
        <v>160</v>
      </c>
      <c r="B176" t="str">
        <f>HYPERLINK("い/いん　咽喉　1807　続名家灸選　平井庸信_ページ_2.jpg")</f>
        <v>い/いん　咽喉　1807　続名家灸選　平井庸信_ページ_2.jpg</v>
      </c>
    </row>
    <row r="177" spans="1:2" x14ac:dyDescent="0.15">
      <c r="A177" t="s">
        <v>161</v>
      </c>
      <c r="B177" t="str">
        <f>HYPERLINK("い/いん　咽喉　1813　名家灸選三編　平井庸信_ページ_1.jpg")</f>
        <v>い/いん　咽喉　1813　名家灸選三編　平井庸信_ページ_1.jpg</v>
      </c>
    </row>
    <row r="178" spans="1:2" x14ac:dyDescent="0.15">
      <c r="A178" t="s">
        <v>162</v>
      </c>
      <c r="B178" t="str">
        <f>HYPERLINK("い/いん　咽喉　1813　名家灸選三編　平井庸信_ページ_2.jpg")</f>
        <v>い/いん　咽喉　1813　名家灸選三編　平井庸信_ページ_2.jpg</v>
      </c>
    </row>
    <row r="179" spans="1:2" x14ac:dyDescent="0.15">
      <c r="A179" t="s">
        <v>163</v>
      </c>
      <c r="B179" t="str">
        <f>HYPERLINK("い/いん　咽喉　成書年未詳　灸穴集　著者未詳_ページ_1.jpg")</f>
        <v>い/いん　咽喉　成書年未詳　灸穴集　著者未詳_ページ_1.jpg</v>
      </c>
    </row>
    <row r="180" spans="1:2" x14ac:dyDescent="0.15">
      <c r="A180" t="s">
        <v>164</v>
      </c>
      <c r="B180" t="str">
        <f>HYPERLINK("い/いん　咽喉　成書年未詳　灸穴集　著者未詳_ページ_2.jpg")</f>
        <v>い/いん　咽喉　成書年未詳　灸穴集　著者未詳_ページ_2.jpg</v>
      </c>
    </row>
    <row r="181" spans="1:2" x14ac:dyDescent="0.15">
      <c r="A181" t="s">
        <v>165</v>
      </c>
      <c r="B181" t="str">
        <f>HYPERLINK("い/いん　咽喉　成書年未詳　灸穴集　著者未詳_ページ_3.jpg")</f>
        <v>い/いん　咽喉　成書年未詳　灸穴集　著者未詳_ページ_3.jpg</v>
      </c>
    </row>
    <row r="182" spans="1:2" x14ac:dyDescent="0.15">
      <c r="A182" t="s">
        <v>166</v>
      </c>
      <c r="B182" t="str">
        <f>HYPERLINK("い/いん　咽喉　成書年未詳　灸穴集　著者未詳_ページ_4.jpg")</f>
        <v>い/いん　咽喉　成書年未詳　灸穴集　著者未詳_ページ_4.jpg</v>
      </c>
    </row>
    <row r="183" spans="1:2" x14ac:dyDescent="0.15">
      <c r="A183" t="s">
        <v>167</v>
      </c>
      <c r="B183" t="str">
        <f>HYPERLINK("い/いん　咽喉　成書年未詳　灸穴集　著者未詳_ページ_5.jpg")</f>
        <v>い/いん　咽喉　成書年未詳　灸穴集　著者未詳_ページ_5.jpg</v>
      </c>
    </row>
    <row r="184" spans="1:2" x14ac:dyDescent="0.15">
      <c r="A184" t="s">
        <v>168</v>
      </c>
      <c r="B184" t="str">
        <f>HYPERLINK("い/いん　咽喉　成書年未詳　灸穴集　著者未詳_ページ_6.jpg")</f>
        <v>い/いん　咽喉　成書年未詳　灸穴集　著者未詳_ページ_6.jpg</v>
      </c>
    </row>
    <row r="185" spans="1:2" x14ac:dyDescent="0.15">
      <c r="A185" t="s">
        <v>169</v>
      </c>
      <c r="B185" t="str">
        <f>HYPERLINK("い/いん　咽喉口舌　1594　鍼灸集要　曲直瀬道三_ページ_1.jpg")</f>
        <v>い/いん　咽喉口舌　1594　鍼灸集要　曲直瀬道三_ページ_1.jpg</v>
      </c>
    </row>
    <row r="186" spans="1:2" x14ac:dyDescent="0.15">
      <c r="A186" t="s">
        <v>170</v>
      </c>
      <c r="B186" t="str">
        <f>HYPERLINK("い/いん　咽喉口舌　1594　鍼灸集要　曲直瀬道三_ページ_2.jpg")</f>
        <v>い/いん　咽喉口舌　1594　鍼灸集要　曲直瀬道三_ページ_2.jpg</v>
      </c>
    </row>
    <row r="187" spans="1:2" x14ac:dyDescent="0.15">
      <c r="A187" t="s">
        <v>171</v>
      </c>
      <c r="B187" t="str">
        <f>HYPERLINK("い/いん　咽喉塞（ふさが）り三日水穀通らず　こうひ（喉痺）二三日薬水ともに通らぬ人　1780　鍼灸極秘伝　木村太沖.jpg")</f>
        <v>い/いん　咽喉塞（ふさが）り三日水穀通らず　こうひ（喉痺）二三日薬水ともに通らぬ人　1780　鍼灸極秘伝　木村太沖.jpg</v>
      </c>
    </row>
    <row r="188" spans="1:2" x14ac:dyDescent="0.15">
      <c r="A188" t="s">
        <v>172</v>
      </c>
      <c r="B188" t="str">
        <f>HYPERLINK("い/いん　咽喉腫痛　1912年（大正01）　鍼灸手引草　久木田七郎_ページ_1.jpg")</f>
        <v>い/いん　咽喉腫痛　1912年（大正01）　鍼灸手引草　久木田七郎_ページ_1.jpg</v>
      </c>
    </row>
    <row r="189" spans="1:2" x14ac:dyDescent="0.15">
      <c r="A189" t="s">
        <v>173</v>
      </c>
      <c r="B189" t="str">
        <f>HYPERLINK("い/いん　咽喉腫痛　1912年（大正01）　鍼灸手引草　久木田七郎_ページ_2.jpg")</f>
        <v>い/いん　咽喉腫痛　1912年（大正01）　鍼灸手引草　久木田七郎_ページ_2.jpg</v>
      </c>
    </row>
    <row r="190" spans="1:2" x14ac:dyDescent="0.15">
      <c r="A190" t="s">
        <v>174</v>
      </c>
      <c r="B190" t="str">
        <f>HYPERLINK("い/いん　咽痛喉痺　1594　経脈方寸秘書　曲直瀬道三.jpg")</f>
        <v>い/いん　咽痛喉痺　1594　経脈方寸秘書　曲直瀬道三.jpg</v>
      </c>
    </row>
    <row r="191" spans="1:2" x14ac:dyDescent="0.15">
      <c r="A191" t="s">
        <v>175</v>
      </c>
      <c r="B191" t="str">
        <f>HYPERLINK("い/いん　小児陰嚢腫大　1758　灸ぜつ塩土伝　三宅意安_ページ_1.jpg")</f>
        <v>い/いん　小児陰嚢腫大　1758　灸ぜつ塩土伝　三宅意安_ページ_1.jpg</v>
      </c>
    </row>
    <row r="192" spans="1:2" x14ac:dyDescent="0.15">
      <c r="A192" t="s">
        <v>176</v>
      </c>
      <c r="B192" t="str">
        <f>HYPERLINK("い/いん　小児陰嚢腫大　1758　灸ぜつ塩土伝　三宅意安_ページ_2.jpg")</f>
        <v>い/いん　小児陰嚢腫大　1758　灸ぜつ塩土伝　三宅意安_ページ_2.jpg</v>
      </c>
    </row>
    <row r="193" spans="1:2" x14ac:dyDescent="0.15">
      <c r="A193" t="s">
        <v>177</v>
      </c>
      <c r="B193" t="str">
        <f>HYPERLINK("い/いん　陰丸を打撲して気を絶する者　きん玉（こうがん）を打て気を失う人　1780　鍼灸極秘伝　木村太沖.jpg")</f>
        <v>い/いん　陰丸を打撲して気を絶する者　きん玉（こうがん）を打て気を失う人　1780　鍼灸極秘伝　木村太沖.jpg</v>
      </c>
    </row>
    <row r="194" spans="1:2" x14ac:dyDescent="0.15">
      <c r="A194" t="s">
        <v>178</v>
      </c>
      <c r="B194" t="str">
        <f>HYPERLINK("い/いん　陰丸腫・便毒・下疳・玉茎腫　よこね、かんそう、くきのはれたる人　1780　鍼灸極秘伝　木村太沖.jpg")</f>
        <v>い/いん　陰丸腫・便毒・下疳・玉茎腫　よこね、かんそう、くきのはれたる人　1780　鍼灸極秘伝　木村太沖.jpg</v>
      </c>
    </row>
    <row r="195" spans="1:2" x14ac:dyDescent="0.15">
      <c r="A195" t="s">
        <v>179</v>
      </c>
      <c r="B195" t="str">
        <f>HYPERLINK("い/いん　陰挺　1624　類経図翼　明・張介賓.jpg")</f>
        <v>い/いん　陰挺　1624　類経図翼　明・張介賓.jpg</v>
      </c>
    </row>
    <row r="196" spans="1:2" x14ac:dyDescent="0.15">
      <c r="A196" t="s">
        <v>180</v>
      </c>
      <c r="B196" t="str">
        <f>HYPERLINK("い/いん　陰挺下脱、又、陰頽（たい）腫　なす　子宮脱出　1887（明治20）　鍼灸備要　青山道醇.jpg")</f>
        <v>い/いん　陰挺下脱、又、陰頽（たい）腫　なす　子宮脱出　1887（明治20）　鍼灸備要　青山道醇.jpg</v>
      </c>
    </row>
    <row r="197" spans="1:2" x14ac:dyDescent="0.15">
      <c r="A197" t="s">
        <v>181</v>
      </c>
      <c r="B197" t="str">
        <f>HYPERLINK("い/いん　陰挺出　1220　鍼灸資生経　王執中.jpg")</f>
        <v>い/いん　陰挺出　1220　鍼灸資生経　王執中.jpg</v>
      </c>
    </row>
    <row r="198" spans="1:2" x14ac:dyDescent="0.15">
      <c r="A198" t="s">
        <v>182</v>
      </c>
      <c r="B198" t="str">
        <f>HYPERLINK("い/いん　陰毒陰証　1537　鍼灸聚英　明・高武.jpg")</f>
        <v>い/いん　陰毒陰証　1537　鍼灸聚英　明・高武.jpg</v>
      </c>
    </row>
    <row r="199" spans="1:2" x14ac:dyDescent="0.15">
      <c r="A199" t="s">
        <v>183</v>
      </c>
      <c r="B199" t="str">
        <f>HYPERLINK("い/いん　陰汗（湿痒）　1220　鍼灸資生経　王執中.jpg")</f>
        <v>い/いん　陰汗（湿痒）　1220　鍼灸資生経　王執中.jpg</v>
      </c>
    </row>
    <row r="200" spans="1:2" x14ac:dyDescent="0.15">
      <c r="A200" t="s">
        <v>184</v>
      </c>
      <c r="B200" t="str">
        <f>HYPERLINK("い/いん　陰煩する者、一に離魂病という　何となくもだえて死せんとする人　1780　鍼灸極秘伝　木村太沖.jpg")</f>
        <v>い/いん　陰煩する者、一に離魂病という　何となくもだえて死せんとする人　1780　鍼灸極秘伝　木村太沖.jpg</v>
      </c>
    </row>
    <row r="201" spans="1:2" x14ac:dyDescent="0.15">
      <c r="A201" t="s">
        <v>185</v>
      </c>
      <c r="B201" t="str">
        <f>HYPERLINK("い/いん　陰疝小便部　1425　神応経　明・陳会撰・劉瑾重校_ページ_1.jpg")</f>
        <v>い/いん　陰疝小便部　1425　神応経　明・陳会撰・劉瑾重校_ページ_1.jpg</v>
      </c>
    </row>
    <row r="202" spans="1:2" x14ac:dyDescent="0.15">
      <c r="A202" t="s">
        <v>186</v>
      </c>
      <c r="B202" t="str">
        <f>HYPERLINK("い/いん　陰疝小便部　1425　神応経　明・陳会撰・劉瑾重校_ページ_2.jpg")</f>
        <v>い/いん　陰疝小便部　1425　神応経　明・陳会撰・劉瑾重校_ページ_2.jpg</v>
      </c>
    </row>
    <row r="203" spans="1:2" x14ac:dyDescent="0.15">
      <c r="A203" t="s">
        <v>187</v>
      </c>
      <c r="B203" t="str">
        <f>HYPERLINK("い/いん　陰疝小便部　1425　神応経　明・陳会撰・劉瑾重校_ページ_3.jpg")</f>
        <v>い/いん　陰疝小便部　1425　神応経　明・陳会撰・劉瑾重校_ページ_3.jpg</v>
      </c>
    </row>
    <row r="204" spans="1:2" x14ac:dyDescent="0.15">
      <c r="A204" t="s">
        <v>188</v>
      </c>
      <c r="B204" t="str">
        <f>HYPERLINK("い/いん　陰病　1686　鍼灸要法指南　岩田利斎.jpg")</f>
        <v>い/いん　陰病　1686　鍼灸要法指南　岩田利斎.jpg</v>
      </c>
    </row>
    <row r="205" spans="1:2" x14ac:dyDescent="0.15">
      <c r="A205" t="s">
        <v>189</v>
      </c>
      <c r="B205" t="str">
        <f>HYPERLINK("い/いん　陰病　1813　名家灸選　浅井惟亨_ページ_1.jpg")</f>
        <v>い/いん　陰病　1813　名家灸選　浅井惟亨_ページ_1.jpg</v>
      </c>
    </row>
    <row r="206" spans="1:2" x14ac:dyDescent="0.15">
      <c r="A206" t="s">
        <v>190</v>
      </c>
      <c r="B206" t="str">
        <f>HYPERLINK("い/いん　陰病　1813　名家灸選　浅井惟亨_ページ_2.jpg")</f>
        <v>い/いん　陰病　1813　名家灸選　浅井惟亨_ページ_2.jpg</v>
      </c>
    </row>
    <row r="207" spans="1:2" x14ac:dyDescent="0.15">
      <c r="A207" t="s">
        <v>191</v>
      </c>
      <c r="B207" t="str">
        <f>HYPERLINK("い/いん　陰病　1813　名家灸選三編　平井庸信.jpg")</f>
        <v>い/いん　陰病　1813　名家灸選三編　平井庸信.jpg</v>
      </c>
    </row>
    <row r="208" spans="1:2" x14ac:dyDescent="0.15">
      <c r="A208" t="s">
        <v>192</v>
      </c>
      <c r="B208" t="str">
        <f>HYPERLINK("い/いん　陰症　1694　選鍼三要集　杉山和一.jpg")</f>
        <v>い/いん　陰症　1694　選鍼三要集　杉山和一.jpg</v>
      </c>
    </row>
    <row r="209" spans="1:2" x14ac:dyDescent="0.15">
      <c r="A209" t="s">
        <v>193</v>
      </c>
      <c r="B209" t="str">
        <f>HYPERLINK("い/いん　陰痛　1792　鍼法要集　源長起.jpg")</f>
        <v>い/いん　陰痛　1792　鍼法要集　源長起.jpg</v>
      </c>
    </row>
    <row r="210" spans="1:2" x14ac:dyDescent="0.15">
      <c r="A210" t="s">
        <v>194</v>
      </c>
      <c r="B210" t="str">
        <f>HYPERLINK("い/いん　陰痿　成書年未詳　灸穴集　著者未詳_ページ_1.jpg")</f>
        <v>い/いん　陰痿　成書年未詳　灸穴集　著者未詳_ページ_1.jpg</v>
      </c>
    </row>
    <row r="211" spans="1:2" x14ac:dyDescent="0.15">
      <c r="A211" t="s">
        <v>195</v>
      </c>
      <c r="B211" t="str">
        <f>HYPERLINK("い/いん　陰痿　成書年未詳　灸穴集　著者未詳_ページ_2.jpg")</f>
        <v>い/いん　陰痿　成書年未詳　灸穴集　著者未詳_ページ_2.jpg</v>
      </c>
    </row>
    <row r="212" spans="1:2" x14ac:dyDescent="0.15">
      <c r="A212" t="s">
        <v>196</v>
      </c>
      <c r="B212" t="str">
        <f>HYPERLINK("い/いん　陰痿　成書年未詳　灸穴集　著者未詳_ページ_3.jpg")</f>
        <v>い/いん　陰痿　成書年未詳　灸穴集　著者未詳_ページ_3.jpg</v>
      </c>
    </row>
    <row r="213" spans="1:2" x14ac:dyDescent="0.15">
      <c r="A213" t="s">
        <v>197</v>
      </c>
      <c r="B213" t="str">
        <f>HYPERLINK("い/いん　陰痿縮（両丸騫）　1220　鍼灸資生経　王執中.jpg")</f>
        <v>い/いん　陰痿縮（両丸騫）　1220　鍼灸資生経　王執中.jpg</v>
      </c>
    </row>
    <row r="214" spans="1:2" x14ac:dyDescent="0.15">
      <c r="A214" t="s">
        <v>198</v>
      </c>
      <c r="B214" t="str">
        <f>HYPERLINK("い/いん　陰腫　1669　鍼灸枢要　山本玄通_ページ_1.jpg")</f>
        <v>い/いん　陰腫　1669　鍼灸枢要　山本玄通_ページ_1.jpg</v>
      </c>
    </row>
    <row r="215" spans="1:2" x14ac:dyDescent="0.15">
      <c r="A215" t="s">
        <v>199</v>
      </c>
      <c r="B215" t="str">
        <f>HYPERLINK("い/いん　陰腫　1669　鍼灸枢要　山本玄通_ページ_2.jpg")</f>
        <v>い/いん　陰腫　1669　鍼灸枢要　山本玄通_ページ_2.jpg</v>
      </c>
    </row>
    <row r="216" spans="1:2" x14ac:dyDescent="0.15">
      <c r="A216" t="s">
        <v>200</v>
      </c>
      <c r="B216" t="str">
        <f>HYPERLINK("い/いん　陰腫　1794　杉山流鍼術　島浦和田一.jpg")</f>
        <v>い/いん　陰腫　1794　杉山流鍼術　島浦和田一.jpg</v>
      </c>
    </row>
    <row r="217" spans="1:2" x14ac:dyDescent="0.15">
      <c r="A217" t="s">
        <v>201</v>
      </c>
      <c r="B217" t="str">
        <f>HYPERLINK("い/いん　陰腫（陰瘡）　1220　鍼灸資生経　王執中.jpg")</f>
        <v>い/いん　陰腫（陰瘡）　1220　鍼灸資生経　王執中.jpg</v>
      </c>
    </row>
    <row r="218" spans="1:2" x14ac:dyDescent="0.15">
      <c r="A218" t="s">
        <v>202</v>
      </c>
      <c r="B218" t="str">
        <f>HYPERLINK("い/いん　陰臭　女のまえのくさきはたびたびさしてよし　1780　鍼灸極秘伝　木村太沖.jpg")</f>
        <v>い/いん　陰臭　女のまえのくさきはたびたびさしてよし　1780　鍼灸極秘伝　木村太沖.jpg</v>
      </c>
    </row>
    <row r="219" spans="1:2" x14ac:dyDescent="0.15">
      <c r="A219" t="s">
        <v>203</v>
      </c>
      <c r="B219" t="str">
        <f>HYPERLINK("い/いん　陰茎疼　1220　鍼灸資生経　王執中.jpg")</f>
        <v>い/いん　陰茎疼　1220　鍼灸資生経　王執中.jpg</v>
      </c>
    </row>
    <row r="220" spans="1:2" x14ac:dyDescent="0.15">
      <c r="A220" t="s">
        <v>204</v>
      </c>
      <c r="B220" t="str">
        <f>HYPERLINK("い/いん　陰茎疼痛　1912年（大正01）　鍼灸手引草　久木田七郎.jpg")</f>
        <v>い/いん　陰茎疼痛　1912年（大正01）　鍼灸手引草　久木田七郎.jpg</v>
      </c>
    </row>
    <row r="221" spans="1:2" x14ac:dyDescent="0.15">
      <c r="A221" t="s">
        <v>205</v>
      </c>
      <c r="B221" t="str">
        <f>HYPERLINK("い/いん　陰萎縮　1912年（大正01）　鍼灸手引草　久木田七郎.jpg")</f>
        <v>い/いん　陰萎縮　1912年（大正01）　鍼灸手引草　久木田七郎.jpg</v>
      </c>
    </row>
    <row r="222" spans="1:2" x14ac:dyDescent="0.15">
      <c r="A222" t="s">
        <v>206</v>
      </c>
      <c r="B222" t="str">
        <f>HYPERLINK("い/いん　飲　●水漿不消発飲　第六　0300　鍼灸甲乙経　皇甫謐_ページ_1.jpg")</f>
        <v>い/いん　飲　●水漿不消発飲　第六　0300　鍼灸甲乙経　皇甫謐_ページ_1.jpg</v>
      </c>
    </row>
    <row r="223" spans="1:2" x14ac:dyDescent="0.15">
      <c r="A223" t="s">
        <v>207</v>
      </c>
      <c r="B223" t="str">
        <f>HYPERLINK("い/いん　飲　●水漿不消発飲　第六　0300　鍼灸甲乙経　皇甫謐_ページ_2.jpg")</f>
        <v>い/いん　飲　●水漿不消発飲　第六　0300　鍼灸甲乙経　皇甫謐_ページ_2.jpg</v>
      </c>
    </row>
    <row r="224" spans="1:2" x14ac:dyDescent="0.15">
      <c r="A224" t="s">
        <v>208</v>
      </c>
      <c r="B224" t="str">
        <f>HYPERLINK("い/いん　飲食　1694　鍼灸そかい集　高津敬節_ページ_1.jpg")</f>
        <v>い/いん　飲食　1694　鍼灸そかい集　高津敬節_ページ_1.jpg</v>
      </c>
    </row>
    <row r="225" spans="1:2" x14ac:dyDescent="0.15">
      <c r="A225" t="s">
        <v>209</v>
      </c>
      <c r="B225" t="str">
        <f>HYPERLINK("い/いん　飲食　1694　鍼灸そかい集　高津敬節_ページ_2.jpg")</f>
        <v>い/いん　飲食　1694　鍼灸そかい集　高津敬節_ページ_2.jpg</v>
      </c>
    </row>
    <row r="226" spans="1:2" x14ac:dyDescent="0.15">
      <c r="A226" t="s">
        <v>210</v>
      </c>
      <c r="B226" t="str">
        <f>HYPERLINK("い/いん　飲食　成書年未詳　経穴図解　著者未詳.jpg")</f>
        <v>い/いん　飲食　成書年未詳　経穴図解　著者未詳.jpg</v>
      </c>
    </row>
    <row r="227" spans="1:2" x14ac:dyDescent="0.15">
      <c r="A227" t="s">
        <v>211</v>
      </c>
      <c r="B227" t="str">
        <f>HYPERLINK("う/う　齲歯　1912年（大正01）　鍼灸手引草　久木田七郎_ページ_1.jpg")</f>
        <v>う/う　齲歯　1912年（大正01）　鍼灸手引草　久木田七郎_ページ_1.jpg</v>
      </c>
    </row>
    <row r="228" spans="1:2" x14ac:dyDescent="0.15">
      <c r="A228" t="s">
        <v>212</v>
      </c>
      <c r="B228" t="str">
        <f>HYPERLINK("う/う　齲歯　1912年（大正01）　鍼灸手引草　久木田七郎_ページ_2.jpg")</f>
        <v>う/う　齲歯　1912年（大正01）　鍼灸手引草　久木田七郎_ページ_2.jpg</v>
      </c>
    </row>
    <row r="229" spans="1:2" x14ac:dyDescent="0.15">
      <c r="A229" t="s">
        <v>213</v>
      </c>
      <c r="B229" t="str">
        <f>HYPERLINK("う/う　齲歯（うし）　むしくひば　歯牙潰瘍、又、朽歯、又、歯骨瘍　1887（明治20）　鍼灸備要　青山道醇.jpg")</f>
        <v>う/う　齲歯（うし）　むしくひば　歯牙潰瘍、又、朽歯、又、歯骨瘍　1887（明治20）　鍼灸備要　青山道醇.jpg</v>
      </c>
    </row>
    <row r="230" spans="1:2" x14ac:dyDescent="0.15">
      <c r="A230" t="s">
        <v>214</v>
      </c>
      <c r="B230" t="str">
        <f>HYPERLINK("う/うえ　飢止針穴　1613　古今集鍼法　長生庵了味か.jpg")</f>
        <v>う/うえ　飢止針穴　1613　古今集鍼法　長生庵了味か.jpg</v>
      </c>
    </row>
    <row r="231" spans="1:2" x14ac:dyDescent="0.15">
      <c r="A231" t="s">
        <v>215</v>
      </c>
      <c r="B231" t="str">
        <f>HYPERLINK("う/うつ　欝冒　1537　鍼灸聚英　明・高武.jpg")</f>
        <v>う/うつ　欝冒　1537　鍼灸聚英　明・高武.jpg</v>
      </c>
    </row>
    <row r="232" spans="1:2" x14ac:dyDescent="0.15">
      <c r="A232" t="s">
        <v>216</v>
      </c>
      <c r="B232" t="str">
        <f>HYPERLINK("う/うつ　欝症　1698　鍼灸抜粋大成　岡本一抱.jpg")</f>
        <v>う/うつ　欝症　1698　鍼灸抜粋大成　岡本一抱.jpg</v>
      </c>
    </row>
    <row r="233" spans="1:2" x14ac:dyDescent="0.15">
      <c r="A233" t="s">
        <v>217</v>
      </c>
      <c r="B233" t="str">
        <f>HYPERLINK("う/うつ　欝症　成書年未詳　経穴図解　著者未詳.jpg")</f>
        <v>う/うつ　欝症　成書年未詳　経穴図解　著者未詳.jpg</v>
      </c>
    </row>
    <row r="234" spans="1:2" x14ac:dyDescent="0.15">
      <c r="A234" t="s">
        <v>218</v>
      </c>
      <c r="B234" t="str">
        <f>HYPERLINK("う/うつ　欝症　附　諸氣　1694　鍼灸そかい集　高津敬節.jpg")</f>
        <v>う/うつ　欝症　附　諸氣　1694　鍼灸そかい集　高津敬節.jpg</v>
      </c>
    </row>
    <row r="235" spans="1:2" x14ac:dyDescent="0.15">
      <c r="A235" t="s">
        <v>219</v>
      </c>
      <c r="B235" t="str">
        <f>HYPERLINK("う/うつ　欝結壅塞　1765　鍼法弁惑　藤井秀孟.jpg")</f>
        <v>う/うつ　欝結壅塞　1765　鍼法弁惑　藤井秀孟.jpg</v>
      </c>
    </row>
    <row r="236" spans="1:2" x14ac:dyDescent="0.15">
      <c r="A236" t="s">
        <v>220</v>
      </c>
      <c r="B236" t="str">
        <f>HYPERLINK("う/うつ　欝証　1669　鍼灸枢要　山本玄通_ページ_1.jpg")</f>
        <v>う/うつ　欝証　1669　鍼灸枢要　山本玄通_ページ_1.jpg</v>
      </c>
    </row>
    <row r="237" spans="1:2" x14ac:dyDescent="0.15">
      <c r="A237" t="s">
        <v>221</v>
      </c>
      <c r="B237" t="str">
        <f>HYPERLINK("う/うつ　欝証　1669　鍼灸枢要　山本玄通_ページ_2.jpg")</f>
        <v>う/うつ　欝証　1669　鍼灸枢要　山本玄通_ページ_2.jpg</v>
      </c>
    </row>
    <row r="238" spans="1:2" x14ac:dyDescent="0.15">
      <c r="A238" t="s">
        <v>222</v>
      </c>
      <c r="B238" t="str">
        <f>HYPERLINK("う/うつ　欝証　1680　鍼灸抜萃　著者未詳.jpg")</f>
        <v>う/うつ　欝証　1680　鍼灸抜萃　著者未詳.jpg</v>
      </c>
    </row>
    <row r="239" spans="1:2" x14ac:dyDescent="0.15">
      <c r="A239" t="s">
        <v>223</v>
      </c>
      <c r="B239" t="str">
        <f>HYPERLINK("う/うつ　欝証　1693　鍼灸要歌集　安井昌玄.jpg")</f>
        <v>う/うつ　欝証　1693　鍼灸要歌集　安井昌玄.jpg</v>
      </c>
    </row>
    <row r="240" spans="1:2" x14ac:dyDescent="0.15">
      <c r="A240" t="s">
        <v>224</v>
      </c>
      <c r="B240" t="str">
        <f>HYPERLINK("う/うつ　欝証　1696　広益鍼灸抜萃　著者未詳.jpg")</f>
        <v>う/うつ　欝証　1696　広益鍼灸抜萃　著者未詳.jpg</v>
      </c>
    </row>
    <row r="241" spans="1:2" x14ac:dyDescent="0.15">
      <c r="A241" t="s">
        <v>225</v>
      </c>
      <c r="B241" t="str">
        <f>HYPERLINK("う/うつ　欝証　1767　鍼灸則　菅沼周桂_ページ_1.jpg")</f>
        <v>う/うつ　欝証　1767　鍼灸則　菅沼周桂_ページ_1.jpg</v>
      </c>
    </row>
    <row r="242" spans="1:2" x14ac:dyDescent="0.15">
      <c r="A242" t="s">
        <v>226</v>
      </c>
      <c r="B242" t="str">
        <f>HYPERLINK("う/うつ　欝証　1767　鍼灸則　菅沼周桂_ページ_2.jpg")</f>
        <v>う/うつ　欝証　1767　鍼灸則　菅沼周桂_ページ_2.jpg</v>
      </c>
    </row>
    <row r="243" spans="1:2" x14ac:dyDescent="0.15">
      <c r="A243" t="s">
        <v>227</v>
      </c>
      <c r="B243" t="str">
        <f>HYPERLINK("う/うつ　欝証　1773　鍼灸手引草　大簡室主人_ページ_1.jpg")</f>
        <v>う/うつ　欝証　1773　鍼灸手引草　大簡室主人_ページ_1.jpg</v>
      </c>
    </row>
    <row r="244" spans="1:2" x14ac:dyDescent="0.15">
      <c r="A244" t="s">
        <v>228</v>
      </c>
      <c r="B244" t="str">
        <f>HYPERLINK("う/うつ　欝証　1773　鍼灸手引草　大簡室主人_ページ_2.jpg")</f>
        <v>う/うつ　欝証　1773　鍼灸手引草　大簡室主人_ページ_2.jpg</v>
      </c>
    </row>
    <row r="245" spans="1:2" x14ac:dyDescent="0.15">
      <c r="A245" t="s">
        <v>229</v>
      </c>
      <c r="B245" t="str">
        <f>HYPERLINK("う/うつ　欝証　1785　鍼書　本城義軒.jpg")</f>
        <v>う/うつ　欝証　1785　鍼書　本城義軒.jpg</v>
      </c>
    </row>
    <row r="246" spans="1:2" x14ac:dyDescent="0.15">
      <c r="A246" t="s">
        <v>230</v>
      </c>
      <c r="B246" t="str">
        <f>HYPERLINK("う/うつ　欝証　1792　鍼法要集　源長起_ページ_1.jpg")</f>
        <v>う/うつ　欝証　1792　鍼法要集　源長起_ページ_1.jpg</v>
      </c>
    </row>
    <row r="247" spans="1:2" x14ac:dyDescent="0.15">
      <c r="A247" t="s">
        <v>231</v>
      </c>
      <c r="B247" t="str">
        <f>HYPERLINK("う/うつ　欝証　1792　鍼法要集　源長起_ページ_2.jpg")</f>
        <v>う/うつ　欝証　1792　鍼法要集　源長起_ページ_2.jpg</v>
      </c>
    </row>
    <row r="248" spans="1:2" x14ac:dyDescent="0.15">
      <c r="A248" t="s">
        <v>232</v>
      </c>
      <c r="B248" t="str">
        <f>HYPERLINK("う/うつ　欝証　きのふさぐ病　鬱憂病　1887（明治20）　鍼灸備要　青山道醇.jpg")</f>
        <v>う/うつ　欝証　きのふさぐ病　鬱憂病　1887（明治20）　鍼灸備要　青山道醇.jpg</v>
      </c>
    </row>
    <row r="249" spans="1:2" x14ac:dyDescent="0.15">
      <c r="A249" t="s">
        <v>233</v>
      </c>
      <c r="B249" t="str">
        <f>HYPERLINK("う/うつ　欝証　成書年未詳　灸穴集　著者未詳_ページ_1.jpg")</f>
        <v>う/うつ　欝証　成書年未詳　灸穴集　著者未詳_ページ_1.jpg</v>
      </c>
    </row>
    <row r="250" spans="1:2" x14ac:dyDescent="0.15">
      <c r="A250" t="s">
        <v>234</v>
      </c>
      <c r="B250" t="str">
        <f>HYPERLINK("う/うつ　欝証　成書年未詳　灸穴集　著者未詳_ページ_2.jpg")</f>
        <v>う/うつ　欝証　成書年未詳　灸穴集　著者未詳_ページ_2.jpg</v>
      </c>
    </row>
    <row r="251" spans="1:2" x14ac:dyDescent="0.15">
      <c r="A251" t="s">
        <v>235</v>
      </c>
      <c r="B251" t="str">
        <f>HYPERLINK("う/うつ　欝証　成書年未詳　灸穴集　著者未詳_ページ_3.jpg")</f>
        <v>う/うつ　欝証　成書年未詳　灸穴集　著者未詳_ページ_3.jpg</v>
      </c>
    </row>
    <row r="252" spans="1:2" x14ac:dyDescent="0.15">
      <c r="A252" t="s">
        <v>236</v>
      </c>
      <c r="B252" t="str">
        <f>HYPERLINK("う/うつ　欝証　成書年未詳　灸穴集　著者未詳_ページ_4.jpg")</f>
        <v>う/うつ　欝証　成書年未詳　灸穴集　著者未詳_ページ_4.jpg</v>
      </c>
    </row>
    <row r="253" spans="1:2" x14ac:dyDescent="0.15">
      <c r="A253" t="s">
        <v>237</v>
      </c>
      <c r="B253" t="str">
        <f>HYPERLINK("う/うつ　欝證　1718　鍼灸重宝記　本郷正豊.jpg")</f>
        <v>う/うつ　欝證　1718　鍼灸重宝記　本郷正豊.jpg</v>
      </c>
    </row>
    <row r="254" spans="1:2" x14ac:dyDescent="0.15">
      <c r="A254" t="s">
        <v>238</v>
      </c>
      <c r="B254" t="str">
        <f>HYPERLINK("う/うん　温疫（うんえき）　えやみ、又、やくびやう　窒扶斯（チフス）　1887（明治20）　鍼灸備要　青山道醇.jpg")</f>
        <v>う/うん　温疫（うんえき）　えやみ、又、やくびやう　窒扶斯（チフス）　1887（明治20）　鍼灸備要　青山道醇.jpg</v>
      </c>
    </row>
    <row r="255" spans="1:2" x14ac:dyDescent="0.15">
      <c r="A255" t="s">
        <v>239</v>
      </c>
      <c r="B255" t="str">
        <f>HYPERLINK("う/うん　瘟疫　1669　鍼灸枢要　山本玄通_ページ_1.jpg")</f>
        <v>う/うん　瘟疫　1669　鍼灸枢要　山本玄通_ページ_1.jpg</v>
      </c>
    </row>
    <row r="256" spans="1:2" x14ac:dyDescent="0.15">
      <c r="A256" t="s">
        <v>240</v>
      </c>
      <c r="B256" t="str">
        <f>HYPERLINK("う/うん　瘟疫　1669　鍼灸枢要　山本玄通_ページ_2.jpg")</f>
        <v>う/うん　瘟疫　1669　鍼灸枢要　山本玄通_ページ_2.jpg</v>
      </c>
    </row>
    <row r="257" spans="1:2" x14ac:dyDescent="0.15">
      <c r="A257" t="s">
        <v>241</v>
      </c>
      <c r="B257" t="str">
        <f>HYPERLINK("え/えい　えい瘤　0650　千金方　孫思ばく.jpg")</f>
        <v>え/えい　えい瘤　0650　千金方　孫思ばく.jpg</v>
      </c>
    </row>
    <row r="258" spans="1:2" x14ac:dyDescent="0.15">
      <c r="A258" t="s">
        <v>242</v>
      </c>
      <c r="B258" t="str">
        <f>HYPERLINK("え/えい　えい瘤　1574　兪穴参伍的法　秦宗巴.jpg")</f>
        <v>え/えい　えい瘤　1574　兪穴参伍的法　秦宗巴.jpg</v>
      </c>
    </row>
    <row r="259" spans="1:2" x14ac:dyDescent="0.15">
      <c r="A259" t="s">
        <v>243</v>
      </c>
      <c r="B259" t="str">
        <f>HYPERLINK("え/えい　えい瘤　1686　こぶ　鍼灸要法指南　岩田利斎.jpg")</f>
        <v>え/えい　えい瘤　1686　こぶ　鍼灸要法指南　岩田利斎.jpg</v>
      </c>
    </row>
    <row r="260" spans="1:2" x14ac:dyDescent="0.15">
      <c r="A260" t="s">
        <v>244</v>
      </c>
      <c r="B260" t="str">
        <f>HYPERLINK("え/えい　えい瘤　1773　鍼灸手引草　大簡室主人.jpg")</f>
        <v>え/えい　えい瘤　1773　鍼灸手引草　大簡室主人.jpg</v>
      </c>
    </row>
    <row r="261" spans="1:2" x14ac:dyDescent="0.15">
      <c r="A261" t="s">
        <v>245</v>
      </c>
      <c r="B261" t="str">
        <f>HYPERLINK("え/えい　えい瘤　成書年未詳　灸穴集　著者未詳_ページ_1.jpg")</f>
        <v>え/えい　えい瘤　成書年未詳　灸穴集　著者未詳_ページ_1.jpg</v>
      </c>
    </row>
    <row r="262" spans="1:2" x14ac:dyDescent="0.15">
      <c r="A262" t="s">
        <v>246</v>
      </c>
      <c r="B262" t="str">
        <f>HYPERLINK("え/えい　えい瘤　成書年未詳　灸穴集　著者未詳_ページ_2.jpg")</f>
        <v>え/えい　えい瘤　成書年未詳　灸穴集　著者未詳_ページ_2.jpg</v>
      </c>
    </row>
    <row r="263" spans="1:2" x14ac:dyDescent="0.15">
      <c r="A263" t="s">
        <v>247</v>
      </c>
      <c r="B263" t="str">
        <f>HYPERLINK("え/えい　えい瘤　成書年未詳　灸穴集　著者未詳_ページ_3.jpg")</f>
        <v>え/えい　えい瘤　成書年未詳　灸穴集　著者未詳_ページ_3.jpg</v>
      </c>
    </row>
    <row r="264" spans="1:2" x14ac:dyDescent="0.15">
      <c r="A264" t="s">
        <v>248</v>
      </c>
      <c r="B264" t="str">
        <f>HYPERLINK("え/えい　えい瘤　附　結核瘰癧　1694　鍼灸そかい集　高津敬節.jpg")</f>
        <v>え/えい　えい瘤　附　結核瘰癧　1694　鍼灸そかい集　高津敬節.jpg</v>
      </c>
    </row>
    <row r="265" spans="1:2" x14ac:dyDescent="0.15">
      <c r="A265" t="s">
        <v>249</v>
      </c>
      <c r="B265" t="str">
        <f>HYPERLINK("え/えい　えい瘤（肉瘤）　1220　鍼灸資生経　王執中_ページ_1.jpg")</f>
        <v>え/えい　えい瘤（肉瘤）　1220　鍼灸資生経　王執中_ページ_1.jpg</v>
      </c>
    </row>
    <row r="266" spans="1:2" x14ac:dyDescent="0.15">
      <c r="A266" t="s">
        <v>250</v>
      </c>
      <c r="B266" t="str">
        <f>HYPERLINK("え/えい　えい瘤（肉瘤）　1220　鍼灸資生経　王執中_ページ_2.jpg")</f>
        <v>え/えい　えい瘤（肉瘤）　1220　鍼灸資生経　王執中_ページ_2.jpg</v>
      </c>
    </row>
    <row r="267" spans="1:2" x14ac:dyDescent="0.15">
      <c r="A267" t="s">
        <v>251</v>
      </c>
      <c r="B267" t="str">
        <f>HYPERLINK("え/えい　翳蔽瞳子　たまにかかるもの　1765　鍼法弁惑　藤井秀孟.jpg")</f>
        <v>え/えい　翳蔽瞳子　たまにかかるもの　1765　鍼法弁惑　藤井秀孟.jpg</v>
      </c>
    </row>
    <row r="268" spans="1:2" x14ac:dyDescent="0.15">
      <c r="A268" t="s">
        <v>252</v>
      </c>
      <c r="B268" t="str">
        <f>HYPERLINK("え/えき　易産　1758　灸ぜつ塩土伝　三宅意安_ページ_1.jpg")</f>
        <v>え/えき　易産　1758　灸ぜつ塩土伝　三宅意安_ページ_1.jpg</v>
      </c>
    </row>
    <row r="269" spans="1:2" x14ac:dyDescent="0.15">
      <c r="A269" t="s">
        <v>253</v>
      </c>
      <c r="B269" t="str">
        <f>HYPERLINK("え/えき　易産　1758　灸ぜつ塩土伝　三宅意安_ページ_2.jpg")</f>
        <v>え/えき　易産　1758　灸ぜつ塩土伝　三宅意安_ページ_2.jpg</v>
      </c>
    </row>
    <row r="270" spans="1:2" x14ac:dyDescent="0.15">
      <c r="A270" t="s">
        <v>254</v>
      </c>
      <c r="B270" t="str">
        <f>HYPERLINK("え/えき　疫痢不止者　1800　岡田流鍼術書　岡田見龍_ページ_1.jpg")</f>
        <v>え/えき　疫痢不止者　1800　岡田流鍼術書　岡田見龍_ページ_1.jpg</v>
      </c>
    </row>
    <row r="271" spans="1:2" x14ac:dyDescent="0.15">
      <c r="A271" t="s">
        <v>255</v>
      </c>
      <c r="B271" t="str">
        <f>HYPERLINK("え/えき　疫痢不止者　1800　岡田流鍼術書　岡田見龍_ページ_2.jpg")</f>
        <v>え/えき　疫痢不止者　1800　岡田流鍼術書　岡田見龍_ページ_2.jpg</v>
      </c>
    </row>
    <row r="272" spans="1:2" x14ac:dyDescent="0.15">
      <c r="A272" t="s">
        <v>256</v>
      </c>
      <c r="B272" t="str">
        <f>HYPERLINK("え/えき　疫痢腹痛　1800　岡田流鍼術書　岡田見龍_ページ_1.jpg")</f>
        <v>え/えき　疫痢腹痛　1800　岡田流鍼術書　岡田見龍_ページ_1.jpg</v>
      </c>
    </row>
    <row r="273" spans="1:2" x14ac:dyDescent="0.15">
      <c r="A273" t="s">
        <v>257</v>
      </c>
      <c r="B273" t="str">
        <f>HYPERLINK("え/えき　疫痢腹痛　1800　岡田流鍼術書　岡田見龍_ページ_2.jpg")</f>
        <v>え/えき　疫痢腹痛　1800　岡田流鍼術書　岡田見龍_ページ_2.jpg</v>
      </c>
    </row>
    <row r="274" spans="1:2" x14ac:dyDescent="0.15">
      <c r="A274" t="s">
        <v>258</v>
      </c>
      <c r="B274" t="str">
        <f>HYPERLINK("え/えき　腋気　1703　鍼灸阿是要穴　岡本一抱.jpg")</f>
        <v>え/えき　腋気　1703　鍼灸阿是要穴　岡本一抱.jpg</v>
      </c>
    </row>
    <row r="275" spans="1:2" x14ac:dyDescent="0.15">
      <c r="A275" t="s">
        <v>259</v>
      </c>
      <c r="B275" t="str">
        <f>HYPERLINK("え/えき　腋気　1767　鍼灸則　菅沼周桂_ページ_1.jpg")</f>
        <v>え/えき　腋気　1767　鍼灸則　菅沼周桂_ページ_1.jpg</v>
      </c>
    </row>
    <row r="276" spans="1:2" x14ac:dyDescent="0.15">
      <c r="A276" t="s">
        <v>260</v>
      </c>
      <c r="B276" t="str">
        <f>HYPERLINK("え/えき　腋気　1767　鍼灸則　菅沼周桂_ページ_2.jpg")</f>
        <v>え/えき　腋気　1767　鍼灸則　菅沼周桂_ページ_2.jpg</v>
      </c>
    </row>
    <row r="277" spans="1:2" x14ac:dyDescent="0.15">
      <c r="A277" t="s">
        <v>261</v>
      </c>
      <c r="B277" t="str">
        <f>HYPERLINK("え/えき　腋痛（腋腫）　1220　鍼灸資生経　王執中_ページ_1.jpg")</f>
        <v>え/えき　腋痛（腋腫）　1220　鍼灸資生経　王執中_ページ_1.jpg</v>
      </c>
    </row>
    <row r="278" spans="1:2" x14ac:dyDescent="0.15">
      <c r="A278" t="s">
        <v>262</v>
      </c>
      <c r="B278" t="str">
        <f>HYPERLINK("え/えき　腋痛（腋腫）　1220　鍼灸資生経　王執中_ページ_2.jpg")</f>
        <v>え/えき　腋痛（腋腫）　1220　鍼灸資生経　王執中_ページ_2.jpg</v>
      </c>
    </row>
    <row r="279" spans="1:2" x14ac:dyDescent="0.15">
      <c r="A279" t="s">
        <v>263</v>
      </c>
      <c r="B279" t="str">
        <f>HYPERLINK("え/えき　腋臭　婦人陰門燥臭　1758　灸ぜつ塩土伝　三宅意安_ページ_1.jpg")</f>
        <v>え/えき　腋臭　婦人陰門燥臭　1758　灸ぜつ塩土伝　三宅意安_ページ_1.jpg</v>
      </c>
    </row>
    <row r="280" spans="1:2" x14ac:dyDescent="0.15">
      <c r="A280" t="s">
        <v>264</v>
      </c>
      <c r="B280" t="str">
        <f>HYPERLINK("え/えき　腋臭　婦人陰門燥臭　1758　灸ぜつ塩土伝　三宅意安_ページ_2.jpg")</f>
        <v>え/えき　腋臭　婦人陰門燥臭　1758　灸ぜつ塩土伝　三宅意安_ページ_2.jpg</v>
      </c>
    </row>
    <row r="281" spans="1:2" x14ac:dyDescent="0.15">
      <c r="A281" t="s">
        <v>265</v>
      </c>
      <c r="B281" t="str">
        <f>HYPERLINK("え/えき　腋臭　成書年未詳　灸穴集　著者未詳.jpg")</f>
        <v>え/えき　腋臭　成書年未詳　灸穴集　著者未詳.jpg</v>
      </c>
    </row>
    <row r="282" spans="1:2" x14ac:dyDescent="0.15">
      <c r="A282" t="s">
        <v>266</v>
      </c>
      <c r="B282" t="str">
        <f>HYPERLINK("え/えつ　えつ逆　1813　名家灸選　浅井惟亨.jpg")</f>
        <v>え/えつ　えつ逆　1813　名家灸選　浅井惟亨.jpg</v>
      </c>
    </row>
    <row r="283" spans="1:2" x14ac:dyDescent="0.15">
      <c r="A283" t="s">
        <v>267</v>
      </c>
      <c r="B283" t="str">
        <f>HYPERLINK("え/えつ　えつ逆　しゃくりなり　1694　療治之大概集　杉山和一.jpg")</f>
        <v>え/えつ　えつ逆　しゃくりなり　1694　療治之大概集　杉山和一.jpg</v>
      </c>
    </row>
    <row r="284" spans="1:2" x14ac:dyDescent="0.15">
      <c r="A284" t="s">
        <v>268</v>
      </c>
      <c r="B284" t="str">
        <f>HYPERLINK("え/えつ　えつ逆（えつぎゃく）　さくり　吃逆（きつぎやく）、又、横膈筋痙攣　1887（明治20）　鍼灸備要　青山道醇.jpg")</f>
        <v>え/えつ　えつ逆（えつぎゃく）　さくり　吃逆（きつぎやく）、又、横膈筋痙攣　1887（明治20）　鍼灸備要　青山道醇.jpg</v>
      </c>
    </row>
    <row r="285" spans="1:2" x14ac:dyDescent="0.15">
      <c r="A285" t="s">
        <v>269</v>
      </c>
      <c r="B285" t="str">
        <f>HYPERLINK("え/えな　胞衣下りざる事　1694　療治之大概集　杉山和一.jpg")</f>
        <v>え/えな　胞衣下りざる事　1694　療治之大概集　杉山和一.jpg</v>
      </c>
    </row>
    <row r="286" spans="1:2" x14ac:dyDescent="0.15">
      <c r="A286" t="s">
        <v>270</v>
      </c>
      <c r="B286" t="str">
        <f>HYPERLINK("え/えん　えん死失神　1765　鍼法弁惑　藤井秀孟_ページ_1.jpg")</f>
        <v>え/えん　えん死失神　1765　鍼法弁惑　藤井秀孟_ページ_1.jpg</v>
      </c>
    </row>
    <row r="287" spans="1:2" x14ac:dyDescent="0.15">
      <c r="A287" t="s">
        <v>271</v>
      </c>
      <c r="B287" t="str">
        <f>HYPERLINK("え/えん　えん死失神　1765　鍼法弁惑　藤井秀孟_ページ_2.jpg")</f>
        <v>え/えん　えん死失神　1765　鍼法弁惑　藤井秀孟_ページ_2.jpg</v>
      </c>
    </row>
    <row r="288" spans="1:2" x14ac:dyDescent="0.15">
      <c r="A288" t="s">
        <v>272</v>
      </c>
      <c r="B288" t="str">
        <f>HYPERLINK("え/えん　涎血　1794　杉山流鍼術　島浦和田一.jpg")</f>
        <v>え/えん　涎血　1794　杉山流鍼術　島浦和田一.jpg</v>
      </c>
    </row>
    <row r="289" spans="1:2" x14ac:dyDescent="0.15">
      <c r="A289" t="s">
        <v>273</v>
      </c>
      <c r="B289" t="str">
        <f>HYPERLINK("お/お　お血、心腹痛み、忍ぶべからざる者　ふる血にてむねはらいたむ人　1780　鍼灸極秘伝　木村太沖.jpg")</f>
        <v>お/お　お血、心腹痛み、忍ぶべからざる者　ふる血にてむねはらいたむ人　1780　鍼灸極秘伝　木村太沖.jpg</v>
      </c>
    </row>
    <row r="290" spans="1:2" x14ac:dyDescent="0.15">
      <c r="A290" t="s">
        <v>274</v>
      </c>
      <c r="B290" t="str">
        <f>HYPERLINK("お/お　悪寒　1537　鍼灸聚英　明・高武.jpg")</f>
        <v>お/お　悪寒　1537　鍼灸聚英　明・高武.jpg</v>
      </c>
    </row>
    <row r="291" spans="1:2" x14ac:dyDescent="0.15">
      <c r="A291" t="s">
        <v>275</v>
      </c>
      <c r="B291" t="str">
        <f>HYPERLINK("お/お　悪心　1537　鍼灸聚英　明・高武.jpg")</f>
        <v>お/お　悪心　1537　鍼灸聚英　明・高武.jpg</v>
      </c>
    </row>
    <row r="292" spans="1:2" x14ac:dyDescent="0.15">
      <c r="A292" t="s">
        <v>276</v>
      </c>
      <c r="B292" t="str">
        <f>HYPERLINK("お/お　悪心　1669　鍼灸枢要　山本玄通.jpg")</f>
        <v>お/お　悪心　1669　鍼灸枢要　山本玄通.jpg</v>
      </c>
    </row>
    <row r="293" spans="1:2" x14ac:dyDescent="0.15">
      <c r="A293" t="s">
        <v>277</v>
      </c>
      <c r="B293" t="str">
        <f>HYPERLINK("お/お　悪心　1767　鍼灸則　菅沼周桂.jpg")</f>
        <v>お/お　悪心　1767　鍼灸則　菅沼周桂.jpg</v>
      </c>
    </row>
    <row r="294" spans="1:2" x14ac:dyDescent="0.15">
      <c r="A294" t="s">
        <v>278</v>
      </c>
      <c r="B294" t="str">
        <f>HYPERLINK("お/お　悪心　むねわろし　1686　鍼灸要法指南　岩田利斎.jpg")</f>
        <v>お/お　悪心　むねわろし　1686　鍼灸要法指南　岩田利斎.jpg</v>
      </c>
    </row>
    <row r="295" spans="1:2" x14ac:dyDescent="0.15">
      <c r="A295" t="s">
        <v>279</v>
      </c>
      <c r="B295" t="str">
        <f>HYPERLINK("お/お　悪熱　悪寒　寒熱　1669　鍼灸枢要　山本玄通_ページ_1.jpg")</f>
        <v>お/お　悪熱　悪寒　寒熱　1669　鍼灸枢要　山本玄通_ページ_1.jpg</v>
      </c>
    </row>
    <row r="296" spans="1:2" x14ac:dyDescent="0.15">
      <c r="A296" t="s">
        <v>280</v>
      </c>
      <c r="B296" t="str">
        <f>HYPERLINK("お/お　悪熱　悪寒　寒熱　1669　鍼灸枢要　山本玄通_ページ_2.jpg")</f>
        <v>お/お　悪熱　悪寒　寒熱　1669　鍼灸枢要　山本玄通_ページ_2.jpg</v>
      </c>
    </row>
    <row r="297" spans="1:2" x14ac:dyDescent="0.15">
      <c r="A297" t="s">
        <v>281</v>
      </c>
      <c r="B297" t="str">
        <f>HYPERLINK("お/お　悪熱　悪寒　寒熱　1669　鍼灸枢要　山本玄通_ページ_3.jpg")</f>
        <v>お/お　悪熱　悪寒　寒熱　1669　鍼灸枢要　山本玄通_ページ_3.jpg</v>
      </c>
    </row>
    <row r="298" spans="1:2" x14ac:dyDescent="0.15">
      <c r="A298" t="s">
        <v>282</v>
      </c>
      <c r="B298" t="str">
        <f>HYPERLINK("お/お　悪熱　悪寒　寒熱　1669　鍼灸枢要　山本玄通_ページ_4.jpg")</f>
        <v>お/お　悪熱　悪寒　寒熱　1669　鍼灸枢要　山本玄通_ページ_4.jpg</v>
      </c>
    </row>
    <row r="299" spans="1:2" x14ac:dyDescent="0.15">
      <c r="A299" t="s">
        <v>283</v>
      </c>
      <c r="B299" t="str">
        <f>HYPERLINK("お/お　悪熱　悪寒　寒熱　1669　鍼灸枢要　山本玄通_ページ_5.jpg")</f>
        <v>お/お　悪熱　悪寒　寒熱　1669　鍼灸枢要　山本玄通_ページ_5.jpg</v>
      </c>
    </row>
    <row r="300" spans="1:2" x14ac:dyDescent="0.15">
      <c r="A300" t="s">
        <v>284</v>
      </c>
      <c r="B300" t="str">
        <f>HYPERLINK("お/お　悪熱　悪寒　寒熱　1669　鍼灸枢要　山本玄通_ページ_6.jpg")</f>
        <v>お/お　悪熱　悪寒　寒熱　1669　鍼灸枢要　山本玄通_ページ_6.jpg</v>
      </c>
    </row>
    <row r="301" spans="1:2" x14ac:dyDescent="0.15">
      <c r="A301" t="s">
        <v>285</v>
      </c>
      <c r="B301" t="str">
        <f>HYPERLINK("お/お　悪熱　悪寒　寒熱　1669　鍼灸枢要　山本玄通_ページ_7.jpg")</f>
        <v>お/お　悪熱　悪寒　寒熱　1669　鍼灸枢要　山本玄通_ページ_7.jpg</v>
      </c>
    </row>
    <row r="302" spans="1:2" x14ac:dyDescent="0.15">
      <c r="A302" t="s">
        <v>286</v>
      </c>
      <c r="B302" t="str">
        <f>HYPERLINK("お/お　悪血を下す事　1607　扁鵲新流鍼書　越齋寿閑.jpg")</f>
        <v>お/お　悪血を下す事　1607　扁鵲新流鍼書　越齋寿閑.jpg</v>
      </c>
    </row>
    <row r="303" spans="1:2" x14ac:dyDescent="0.15">
      <c r="A303" t="s">
        <v>287</v>
      </c>
      <c r="B303" t="str">
        <f>HYPERLINK("お/お　悪血不下　1765　鍼法弁惑　藤井秀孟.jpg")</f>
        <v>お/お　悪血不下　1765　鍼法弁惑　藤井秀孟.jpg</v>
      </c>
    </row>
    <row r="304" spans="1:2" x14ac:dyDescent="0.15">
      <c r="A304" t="s">
        <v>288</v>
      </c>
      <c r="B304" t="str">
        <f>HYPERLINK("お/お　悪阻　1669　鍼灸枢要　山本玄通_ページ_1.jpg")</f>
        <v>お/お　悪阻　1669　鍼灸枢要　山本玄通_ページ_1.jpg</v>
      </c>
    </row>
    <row r="305" spans="1:2" x14ac:dyDescent="0.15">
      <c r="A305" t="s">
        <v>289</v>
      </c>
      <c r="B305" t="str">
        <f>HYPERLINK("お/お　悪阻　1669　鍼灸枢要　山本玄通_ページ_2.jpg")</f>
        <v>お/お　悪阻　1669　鍼灸枢要　山本玄通_ページ_2.jpg</v>
      </c>
    </row>
    <row r="306" spans="1:2" x14ac:dyDescent="0.15">
      <c r="A306" t="s">
        <v>290</v>
      </c>
      <c r="B306" t="str">
        <f>HYPERLINK("お/お　悪阻　1686　つわり　鍼灸要法指南　岩田利斎.jpg")</f>
        <v>お/お　悪阻　1686　つわり　鍼灸要法指南　岩田利斎.jpg</v>
      </c>
    </row>
    <row r="307" spans="1:2" x14ac:dyDescent="0.15">
      <c r="A307" t="s">
        <v>291</v>
      </c>
      <c r="B307" t="str">
        <f>HYPERLINK("お/お　悪阻　1693　鍼灸要歌集　安井昌玄.jpg")</f>
        <v>お/お　悪阻　1693　鍼灸要歌集　安井昌玄.jpg</v>
      </c>
    </row>
    <row r="308" spans="1:2" x14ac:dyDescent="0.15">
      <c r="A308" t="s">
        <v>292</v>
      </c>
      <c r="B308" t="str">
        <f>HYPERLINK("お/お　悪阻　1800　鍼灸備要　小坂元祐_ページ_1.jpg")</f>
        <v>お/お　悪阻　1800　鍼灸備要　小坂元祐_ページ_1.jpg</v>
      </c>
    </row>
    <row r="309" spans="1:2" x14ac:dyDescent="0.15">
      <c r="A309" t="s">
        <v>293</v>
      </c>
      <c r="B309" t="str">
        <f>HYPERLINK("お/お　悪阻　1800　鍼灸備要　小坂元祐_ページ_2.jpg")</f>
        <v>お/お　悪阻　1800　鍼灸備要　小坂元祐_ページ_2.jpg</v>
      </c>
    </row>
    <row r="310" spans="1:2" x14ac:dyDescent="0.15">
      <c r="A310" t="s">
        <v>294</v>
      </c>
      <c r="B310" t="str">
        <f>HYPERLINK("お/お　悪阻　1800　鍼灸備要　小坂元祐_ページ_3.jpg")</f>
        <v>お/お　悪阻　1800　鍼灸備要　小坂元祐_ページ_3.jpg</v>
      </c>
    </row>
    <row r="311" spans="1:2" x14ac:dyDescent="0.15">
      <c r="A311" t="s">
        <v>295</v>
      </c>
      <c r="B311" t="str">
        <f>HYPERLINK("お/お　悪阻　1800　鍼灸備要　小坂元祐_ページ_4.jpg")</f>
        <v>お/お　悪阻　1800　鍼灸備要　小坂元祐_ページ_4.jpg</v>
      </c>
    </row>
    <row r="312" spans="1:2" x14ac:dyDescent="0.15">
      <c r="A312" t="s">
        <v>296</v>
      </c>
      <c r="B312" t="str">
        <f>HYPERLINK("お/お　悪阻　1800　鍼灸備要　小坂元祐_ページ_5.jpg")</f>
        <v>お/お　悪阻　1800　鍼灸備要　小坂元祐_ページ_5.jpg</v>
      </c>
    </row>
    <row r="313" spans="1:2" x14ac:dyDescent="0.15">
      <c r="A313" t="s">
        <v>297</v>
      </c>
      <c r="B313" t="str">
        <f>HYPERLINK("お/お　悪阻　1800　鍼灸備要　小坂元祐_ページ_6.jpg")</f>
        <v>お/お　悪阻　1800　鍼灸備要　小坂元祐_ページ_6.jpg</v>
      </c>
    </row>
    <row r="314" spans="1:2" x14ac:dyDescent="0.15">
      <c r="A314" t="s">
        <v>298</v>
      </c>
      <c r="B314" t="str">
        <f>HYPERLINK("お/お　悪阻　1800　鍼灸備要　小坂元祐_ページ_7.jpg")</f>
        <v>お/お　悪阻　1800　鍼灸備要　小坂元祐_ページ_7.jpg</v>
      </c>
    </row>
    <row r="315" spans="1:2" x14ac:dyDescent="0.15">
      <c r="A315" t="s">
        <v>299</v>
      </c>
      <c r="B315" t="str">
        <f>HYPERLINK("お/お　悪阻　1800　鍼灸備要　小坂元祐_ページ_8.jpg")</f>
        <v>お/お　悪阻　1800　鍼灸備要　小坂元祐_ページ_8.jpg</v>
      </c>
    </row>
    <row r="316" spans="1:2" x14ac:dyDescent="0.15">
      <c r="A316" t="s">
        <v>300</v>
      </c>
      <c r="B316" t="str">
        <f>HYPERLINK("お/お　悪阻（をそ）　つわり　1887（明治20）　鍼灸備要　青山道醇.jpg")</f>
        <v>お/お　悪阻（をそ）　つわり　1887（明治20）　鍼灸備要　青山道醇.jpg</v>
      </c>
    </row>
    <row r="317" spans="1:2" x14ac:dyDescent="0.15">
      <c r="A317" t="s">
        <v>301</v>
      </c>
      <c r="B317" t="str">
        <f>HYPERLINK("お/お　悪風　1537　鍼灸聚英　明・高武.jpg")</f>
        <v>お/お　悪風　1537　鍼灸聚英　明・高武.jpg</v>
      </c>
    </row>
    <row r="318" spans="1:2" x14ac:dyDescent="0.15">
      <c r="A318" t="s">
        <v>302</v>
      </c>
      <c r="B318" t="str">
        <f>HYPERLINK("お/お　悪風悪寒　1765　鍼法弁惑　藤井秀孟.jpg")</f>
        <v>お/お　悪風悪寒　1765　鍼法弁惑　藤井秀孟.jpg</v>
      </c>
    </row>
    <row r="319" spans="1:2" x14ac:dyDescent="0.15">
      <c r="A319" t="s">
        <v>303</v>
      </c>
      <c r="B319" t="str">
        <f>HYPERLINK("お/お　阿蘭陀（オランダ）人口授の秘薬　甚だ妙剤なり、まことに日本の宝とおもふなり　1780　鍼灸極秘伝　木村太沖.jpg")</f>
        <v>お/お　阿蘭陀（オランダ）人口授の秘薬　甚だ妙剤なり、まことに日本の宝とおもふなり　1780　鍼灸極秘伝　木村太沖.jpg</v>
      </c>
    </row>
    <row r="320" spans="1:2" x14ac:dyDescent="0.15">
      <c r="A320" t="s">
        <v>304</v>
      </c>
      <c r="B320" t="str">
        <f>HYPERLINK("お/おう　嘔　吐　えつ　嘔苦水　嘔清水　1669　鍼灸枢要　山本玄通_ページ_1.jpg")</f>
        <v>お/おう　嘔　吐　えつ　嘔苦水　嘔清水　1669　鍼灸枢要　山本玄通_ページ_1.jpg</v>
      </c>
    </row>
    <row r="321" spans="1:2" x14ac:dyDescent="0.15">
      <c r="A321" t="s">
        <v>305</v>
      </c>
      <c r="B321" t="str">
        <f>HYPERLINK("お/おう　嘔　吐　えつ　嘔苦水　嘔清水　1669　鍼灸枢要　山本玄通_ページ_2.jpg")</f>
        <v>お/おう　嘔　吐　えつ　嘔苦水　嘔清水　1669　鍼灸枢要　山本玄通_ページ_2.jpg</v>
      </c>
    </row>
    <row r="322" spans="1:2" x14ac:dyDescent="0.15">
      <c r="A322" t="s">
        <v>306</v>
      </c>
      <c r="B322" t="str">
        <f>HYPERLINK("お/おう　嘔　吐　えつ　嘔苦水　嘔清水　1669　鍼灸枢要　山本玄通_ページ_3.jpg")</f>
        <v>お/おう　嘔　吐　えつ　嘔苦水　嘔清水　1669　鍼灸枢要　山本玄通_ページ_3.jpg</v>
      </c>
    </row>
    <row r="323" spans="1:2" x14ac:dyDescent="0.15">
      <c r="A323" t="s">
        <v>307</v>
      </c>
      <c r="B323" t="str">
        <f>HYPERLINK("お/おう　嘔　吐　えつ　嘔苦水　嘔清水　1669　鍼灸枢要　山本玄通_ページ_4.jpg")</f>
        <v>お/おう　嘔　吐　えつ　嘔苦水　嘔清水　1669　鍼灸枢要　山本玄通_ページ_4.jpg</v>
      </c>
    </row>
    <row r="324" spans="1:2" x14ac:dyDescent="0.15">
      <c r="A324" t="s">
        <v>308</v>
      </c>
      <c r="B324" t="str">
        <f>HYPERLINK("お/おう　嘔　吐　えつ　嘔苦水　嘔清水　1669　鍼灸枢要　山本玄通_ページ_5.jpg")</f>
        <v>お/おう　嘔　吐　えつ　嘔苦水　嘔清水　1669　鍼灸枢要　山本玄通_ページ_5.jpg</v>
      </c>
    </row>
    <row r="325" spans="1:2" x14ac:dyDescent="0.15">
      <c r="A325" t="s">
        <v>309</v>
      </c>
      <c r="B325" t="str">
        <f>HYPERLINK("お/おう　嘔　吐　えつ　嘔苦水　嘔清水　1669　鍼灸枢要　山本玄通_ページ_6.jpg")</f>
        <v>お/おう　嘔　吐　えつ　嘔苦水　嘔清水　1669　鍼灸枢要　山本玄通_ページ_6.jpg</v>
      </c>
    </row>
    <row r="326" spans="1:2" x14ac:dyDescent="0.15">
      <c r="A326" t="s">
        <v>310</v>
      </c>
      <c r="B326" t="str">
        <f>HYPERLINK("お/おう　嘔　吐　えつ　嘔苦水　嘔清水　1669　鍼灸枢要　山本玄通_ページ_7.jpg")</f>
        <v>お/おう　嘔　吐　えつ　嘔苦水　嘔清水　1669　鍼灸枢要　山本玄通_ページ_7.jpg</v>
      </c>
    </row>
    <row r="327" spans="1:2" x14ac:dyDescent="0.15">
      <c r="A327" t="s">
        <v>311</v>
      </c>
      <c r="B327" t="str">
        <f>HYPERLINK("お/おう　嘔吐　0650　千金方　孫思ばく_ページ_1.jpg")</f>
        <v>お/おう　嘔吐　0650　千金方　孫思ばく_ページ_1.jpg</v>
      </c>
    </row>
    <row r="328" spans="1:2" x14ac:dyDescent="0.15">
      <c r="A328" t="s">
        <v>312</v>
      </c>
      <c r="B328" t="str">
        <f>HYPERLINK("お/おう　嘔吐　0650　千金方　孫思ばく_ページ_2.jpg")</f>
        <v>お/おう　嘔吐　0650　千金方　孫思ばく_ページ_2.jpg</v>
      </c>
    </row>
    <row r="329" spans="1:2" x14ac:dyDescent="0.15">
      <c r="A329" t="s">
        <v>313</v>
      </c>
      <c r="B329" t="str">
        <f>HYPERLINK("お/おう　嘔吐　1220　鍼灸資生経　王執中_ページ_1.jpg")</f>
        <v>お/おう　嘔吐　1220　鍼灸資生経　王執中_ページ_1.jpg</v>
      </c>
    </row>
    <row r="330" spans="1:2" x14ac:dyDescent="0.15">
      <c r="A330" t="s">
        <v>314</v>
      </c>
      <c r="B330" t="str">
        <f>HYPERLINK("お/おう　嘔吐　1220　鍼灸資生経　王執中_ページ_2.jpg")</f>
        <v>お/おう　嘔吐　1220　鍼灸資生経　王執中_ページ_2.jpg</v>
      </c>
    </row>
    <row r="331" spans="1:2" x14ac:dyDescent="0.15">
      <c r="A331" t="s">
        <v>315</v>
      </c>
      <c r="B331" t="str">
        <f>HYPERLINK("お/おう　嘔吐　1537　鍼灸聚英　明・高武.jpg")</f>
        <v>お/おう　嘔吐　1537　鍼灸聚英　明・高武.jpg</v>
      </c>
    </row>
    <row r="332" spans="1:2" x14ac:dyDescent="0.15">
      <c r="A332" t="s">
        <v>316</v>
      </c>
      <c r="B332" t="str">
        <f>HYPERLINK("お/おう　嘔吐　1574　兪穴参伍的法　秦宗巴.jpg")</f>
        <v>お/おう　嘔吐　1574　兪穴参伍的法　秦宗巴.jpg</v>
      </c>
    </row>
    <row r="333" spans="1:2" x14ac:dyDescent="0.15">
      <c r="A333" t="s">
        <v>317</v>
      </c>
      <c r="B333" t="str">
        <f>HYPERLINK("お/おう　嘔吐　1613　古今集鍼法　長生庵了味か.jpg")</f>
        <v>お/おう　嘔吐　1613　古今集鍼法　長生庵了味か.jpg</v>
      </c>
    </row>
    <row r="334" spans="1:2" x14ac:dyDescent="0.15">
      <c r="A334" t="s">
        <v>318</v>
      </c>
      <c r="B334" t="str">
        <f>HYPERLINK("お/おう　嘔吐　1694　からえづきの事　療治之大概集　杉山和一.jpg")</f>
        <v>お/おう　嘔吐　1694　からえづきの事　療治之大概集　杉山和一.jpg</v>
      </c>
    </row>
    <row r="335" spans="1:2" x14ac:dyDescent="0.15">
      <c r="A335" t="s">
        <v>319</v>
      </c>
      <c r="B335" t="str">
        <f>HYPERLINK("お/おう　嘔吐　1698　鍼灸抜粋大成　岡本一抱.jpg")</f>
        <v>お/おう　嘔吐　1698　鍼灸抜粋大成　岡本一抱.jpg</v>
      </c>
    </row>
    <row r="336" spans="1:2" x14ac:dyDescent="0.15">
      <c r="A336" t="s">
        <v>320</v>
      </c>
      <c r="B336" t="str">
        <f>HYPERLINK("お/おう　嘔吐　1718　ゑづき　鍼灸重宝記　本郷正豊.jpg")</f>
        <v>お/おう　嘔吐　1718　ゑづき　鍼灸重宝記　本郷正豊.jpg</v>
      </c>
    </row>
    <row r="337" spans="1:2" x14ac:dyDescent="0.15">
      <c r="A337" t="s">
        <v>321</v>
      </c>
      <c r="B337" t="str">
        <f>HYPERLINK("お/おう　嘔吐　1767　鍼灸則　菅沼周桂.jpg")</f>
        <v>お/おう　嘔吐　1767　鍼灸則　菅沼周桂.jpg</v>
      </c>
    </row>
    <row r="338" spans="1:2" x14ac:dyDescent="0.15">
      <c r="A338" t="s">
        <v>322</v>
      </c>
      <c r="B338" t="str">
        <f>HYPERLINK("お/おう　嘔吐　1780　からえづき、あるいは物をはく人　鍼灸極秘伝　木村太沖.jpg")</f>
        <v>お/おう　嘔吐　1780　からえづき、あるいは物をはく人　鍼灸極秘伝　木村太沖.jpg</v>
      </c>
    </row>
    <row r="339" spans="1:2" x14ac:dyDescent="0.15">
      <c r="A339" t="s">
        <v>323</v>
      </c>
      <c r="B339" t="str">
        <f>HYPERLINK("お/おう　嘔吐　1785　鍼書　本城義軒_ページ_1.jpg")</f>
        <v>お/おう　嘔吐　1785　鍼書　本城義軒_ページ_1.jpg</v>
      </c>
    </row>
    <row r="340" spans="1:2" x14ac:dyDescent="0.15">
      <c r="A340" t="s">
        <v>324</v>
      </c>
      <c r="B340" t="str">
        <f>HYPERLINK("お/おう　嘔吐　1785　鍼書　本城義軒_ページ_2.jpg")</f>
        <v>お/おう　嘔吐　1785　鍼書　本城義軒_ページ_2.jpg</v>
      </c>
    </row>
    <row r="341" spans="1:2" x14ac:dyDescent="0.15">
      <c r="A341" t="s">
        <v>325</v>
      </c>
      <c r="B341" t="str">
        <f>HYPERLINK("お/おう　嘔吐　1800　鍼灸備要　小坂元祐_ページ_1.jpg")</f>
        <v>お/おう　嘔吐　1800　鍼灸備要　小坂元祐_ページ_1.jpg</v>
      </c>
    </row>
    <row r="342" spans="1:2" x14ac:dyDescent="0.15">
      <c r="A342" t="s">
        <v>326</v>
      </c>
      <c r="B342" t="str">
        <f>HYPERLINK("お/おう　嘔吐　1800　鍼灸備要　小坂元祐_ページ_2.jpg")</f>
        <v>お/おう　嘔吐　1800　鍼灸備要　小坂元祐_ページ_2.jpg</v>
      </c>
    </row>
    <row r="343" spans="1:2" x14ac:dyDescent="0.15">
      <c r="A343" t="s">
        <v>327</v>
      </c>
      <c r="B343" t="str">
        <f>HYPERLINK("お/おう　嘔吐　1800　鍼灸備要　小坂元祐_ページ_3.jpg")</f>
        <v>お/おう　嘔吐　1800　鍼灸備要　小坂元祐_ページ_3.jpg</v>
      </c>
    </row>
    <row r="344" spans="1:2" x14ac:dyDescent="0.15">
      <c r="A344" t="s">
        <v>328</v>
      </c>
      <c r="B344" t="str">
        <f>HYPERLINK("お/おう　嘔吐　噎膈　翻胃　1680　鍼灸抜萃　著者未詳.jpg")</f>
        <v>お/おう　嘔吐　噎膈　翻胃　1680　鍼灸抜萃　著者未詳.jpg</v>
      </c>
    </row>
    <row r="345" spans="1:2" x14ac:dyDescent="0.15">
      <c r="A345" t="s">
        <v>329</v>
      </c>
      <c r="B345" t="str">
        <f>HYPERLINK("お/おう　嘔吐　噎膈　翻胃　1693　鍼灸要歌集　安井昌玄_ページ_1.jpg")</f>
        <v>お/おう　嘔吐　噎膈　翻胃　1693　鍼灸要歌集　安井昌玄_ページ_1.jpg</v>
      </c>
    </row>
    <row r="346" spans="1:2" x14ac:dyDescent="0.15">
      <c r="A346" t="s">
        <v>330</v>
      </c>
      <c r="B346" t="str">
        <f>HYPERLINK("お/おう　嘔吐　噎膈　翻胃　1693　鍼灸要歌集　安井昌玄_ページ_2.jpg")</f>
        <v>お/おう　嘔吐　噎膈　翻胃　1693　鍼灸要歌集　安井昌玄_ページ_2.jpg</v>
      </c>
    </row>
    <row r="347" spans="1:2" x14ac:dyDescent="0.15">
      <c r="A347" t="s">
        <v>331</v>
      </c>
      <c r="B347" t="str">
        <f>HYPERLINK("お/おう　嘔吐　噎膈　翻胃　1696　広益鍼灸抜萃　著者未詳.jpg")</f>
        <v>お/おう　嘔吐　噎膈　翻胃　1696　広益鍼灸抜萃　著者未詳.jpg</v>
      </c>
    </row>
    <row r="348" spans="1:2" x14ac:dyDescent="0.15">
      <c r="A348" t="s">
        <v>332</v>
      </c>
      <c r="B348" t="str">
        <f>HYPERLINK("お/おう　嘔吐　小児　からえづきの事　1694　療治之大概集　杉山和一.jpg")</f>
        <v>お/おう　嘔吐　小児　からえづきの事　1694　療治之大概集　杉山和一.jpg</v>
      </c>
    </row>
    <row r="349" spans="1:2" x14ac:dyDescent="0.15">
      <c r="A349" t="s">
        <v>333</v>
      </c>
      <c r="B349" t="str">
        <f>HYPERLINK("お/おう　嘔吐　膈噎　反胃　呑酸　1792　鍼法要集　源長起_ページ_1.jpg")</f>
        <v>お/おう　嘔吐　膈噎　反胃　呑酸　1792　鍼法要集　源長起_ページ_1.jpg</v>
      </c>
    </row>
    <row r="350" spans="1:2" x14ac:dyDescent="0.15">
      <c r="A350" t="s">
        <v>334</v>
      </c>
      <c r="B350" t="str">
        <f>HYPERLINK("お/おう　嘔吐　膈噎　反胃　呑酸　1792　鍼法要集　源長起_ページ_2.jpg")</f>
        <v>お/おう　嘔吐　膈噎　反胃　呑酸　1792　鍼法要集　源長起_ページ_2.jpg</v>
      </c>
    </row>
    <row r="351" spans="1:2" x14ac:dyDescent="0.15">
      <c r="A351" t="s">
        <v>335</v>
      </c>
      <c r="B351" t="str">
        <f>HYPERLINK("お/おう　嘔吐　膈噎　反胃　呑酸　1792　鍼法要集　源長起_ページ_3.jpg")</f>
        <v>お/おう　嘔吐　膈噎　反胃　呑酸　1792　鍼法要集　源長起_ページ_3.jpg</v>
      </c>
    </row>
    <row r="352" spans="1:2" x14ac:dyDescent="0.15">
      <c r="A352" t="s">
        <v>336</v>
      </c>
      <c r="B352" t="str">
        <f>HYPERLINK("お/おう　嘔吐　附　噎膈反胃　1773　鍼灸手引草　大簡室主人_ページ_1.jpg")</f>
        <v>お/おう　嘔吐　附　噎膈反胃　1773　鍼灸手引草　大簡室主人_ページ_1.jpg</v>
      </c>
    </row>
    <row r="353" spans="1:2" x14ac:dyDescent="0.15">
      <c r="A353" t="s">
        <v>337</v>
      </c>
      <c r="B353" t="str">
        <f>HYPERLINK("お/おう　嘔吐　附　噎膈反胃　1773　鍼灸手引草　大簡室主人_ページ_2.jpg")</f>
        <v>お/おう　嘔吐　附　噎膈反胃　1773　鍼灸手引草　大簡室主人_ページ_2.jpg</v>
      </c>
    </row>
    <row r="354" spans="1:2" x14ac:dyDescent="0.15">
      <c r="A354" t="s">
        <v>338</v>
      </c>
      <c r="B354" t="str">
        <f>HYPERLINK("お/おう　嘔吐　附　噎膈反胃　1773　鍼灸手引草　大簡室主人_ページ_3.jpg")</f>
        <v>お/おう　嘔吐　附　噎膈反胃　1773　鍼灸手引草　大簡室主人_ページ_3.jpg</v>
      </c>
    </row>
    <row r="355" spans="1:2" x14ac:dyDescent="0.15">
      <c r="A355" t="s">
        <v>339</v>
      </c>
      <c r="B355" t="str">
        <f>HYPERLINK("お/おう　嘔吐　附　翻胃　膈噎　1694　鍼灸そかい集　高津敬節.jpg")</f>
        <v>お/おう　嘔吐　附　翻胃　膈噎　1694　鍼灸そかい集　高津敬節.jpg</v>
      </c>
    </row>
    <row r="356" spans="1:2" x14ac:dyDescent="0.15">
      <c r="A356" t="s">
        <v>340</v>
      </c>
      <c r="B356" t="str">
        <f>HYPERLINK("お/おう　嘔吐、気逆　1694　選鍼三要集　杉山和一.jpg")</f>
        <v>お/おう　嘔吐、気逆　1694　選鍼三要集　杉山和一.jpg</v>
      </c>
    </row>
    <row r="357" spans="1:2" x14ac:dyDescent="0.15">
      <c r="A357" t="s">
        <v>341</v>
      </c>
      <c r="B357" t="str">
        <f>HYPERLINK("お/おう　嘔吐気逆　1794　杉山流鍼術　島浦和田一.jpg")</f>
        <v>お/おう　嘔吐気逆　1794　杉山流鍼術　島浦和田一.jpg</v>
      </c>
    </row>
    <row r="358" spans="1:2" x14ac:dyDescent="0.15">
      <c r="A358" t="s">
        <v>342</v>
      </c>
      <c r="B358" t="str">
        <f>HYPERLINK("お/おう　嘔吐症及ひ乾嘔（からえずき）　1912年（大正01）　鍼灸手引草　久木田七郎.jpg")</f>
        <v>お/おう　嘔吐症及ひ乾嘔（からえずき）　1912年（大正01）　鍼灸手引草　久木田七郎.jpg</v>
      </c>
    </row>
    <row r="359" spans="1:2" x14ac:dyDescent="0.15">
      <c r="A359" t="s">
        <v>343</v>
      </c>
      <c r="B359" t="str">
        <f>HYPERLINK("お/おう　嘔吐（ををと）　へとつく　嘔吐　1887（明治20）　鍼灸備要　青山道醇.jpg")</f>
        <v>お/おう　嘔吐（ををと）　へとつく　嘔吐　1887（明治20）　鍼灸備要　青山道醇.jpg</v>
      </c>
    </row>
    <row r="360" spans="1:2" x14ac:dyDescent="0.15">
      <c r="A360" t="s">
        <v>344</v>
      </c>
      <c r="B360" t="str">
        <f>HYPERLINK("お/おう　嘔盛無度　1794　杉山流鍼術　島浦和田一.jpg")</f>
        <v>お/おう　嘔盛無度　1794　杉山流鍼術　島浦和田一.jpg</v>
      </c>
    </row>
    <row r="361" spans="1:2" x14ac:dyDescent="0.15">
      <c r="A361" t="s">
        <v>345</v>
      </c>
      <c r="B361" t="str">
        <f>HYPERLINK("お/おう　嘔血　1794　杉山流鍼術　島浦和田一.jpg")</f>
        <v>お/おう　嘔血　1794　杉山流鍼術　島浦和田一.jpg</v>
      </c>
    </row>
    <row r="362" spans="1:2" x14ac:dyDescent="0.15">
      <c r="A362" t="s">
        <v>346</v>
      </c>
      <c r="B362" t="str">
        <f>HYPERLINK("お/おう　嘔逆　からえづき　1780　鍼灸極秘伝　木村太沖.jpg")</f>
        <v>お/おう　嘔逆　からえづき　1780　鍼灸極秘伝　木村太沖.jpg</v>
      </c>
    </row>
    <row r="363" spans="1:2" x14ac:dyDescent="0.15">
      <c r="A363" t="s">
        <v>347</v>
      </c>
      <c r="B363" t="str">
        <f>HYPERLINK("お/おう　横産　1767　鍼灸則　菅沼周桂.jpg")</f>
        <v>お/おう　横産　1767　鍼灸則　菅沼周桂.jpg</v>
      </c>
    </row>
    <row r="364" spans="1:2" x14ac:dyDescent="0.15">
      <c r="A364" t="s">
        <v>348</v>
      </c>
      <c r="B364" t="str">
        <f>HYPERLINK("お/おう　横産　よこざん　横位出産　1887（明治20）　鍼灸備要　青山道醇.jpg")</f>
        <v>お/おう　横産　よこざん　横位出産　1887（明治20）　鍼灸備要　青山道醇.jpg</v>
      </c>
    </row>
    <row r="365" spans="1:2" x14ac:dyDescent="0.15">
      <c r="A365" t="s">
        <v>349</v>
      </c>
      <c r="B365" t="str">
        <f>HYPERLINK("お/おう　横産逆産及胞衣不下　1594　経脈方寸秘書　曲直瀬道三.jpg")</f>
        <v>お/おう　横産逆産及胞衣不下　1594　経脈方寸秘書　曲直瀬道三.jpg</v>
      </c>
    </row>
    <row r="366" spans="1:2" x14ac:dyDescent="0.15">
      <c r="A366" t="s">
        <v>350</v>
      </c>
      <c r="B366" t="str">
        <f>HYPERLINK("お/おう　黄疸　0650　千金方　孫思ばく.jpg")</f>
        <v>お/おう　黄疸　0650　千金方　孫思ばく.jpg</v>
      </c>
    </row>
    <row r="367" spans="1:2" x14ac:dyDescent="0.15">
      <c r="A367" t="s">
        <v>351</v>
      </c>
      <c r="B367" t="str">
        <f>HYPERLINK("お/おう　黄疸　1563　鍼灸集要　曲直瀬道三.jpg")</f>
        <v>お/おう　黄疸　1563　鍼灸集要　曲直瀬道三.jpg</v>
      </c>
    </row>
    <row r="368" spans="1:2" x14ac:dyDescent="0.15">
      <c r="A368" t="s">
        <v>352</v>
      </c>
      <c r="B368" t="str">
        <f>HYPERLINK("お/おう　黄疸　1574　兪穴参伍的法　秦宗巴.jpg")</f>
        <v>お/おう　黄疸　1574　兪穴参伍的法　秦宗巴.jpg</v>
      </c>
    </row>
    <row r="369" spans="1:2" x14ac:dyDescent="0.15">
      <c r="A369" t="s">
        <v>353</v>
      </c>
      <c r="B369" t="str">
        <f>HYPERLINK("お/おう　黄疸　1607　扁鵲新流鍼書　越齋寿閑_ページ_1.jpg")</f>
        <v>お/おう　黄疸　1607　扁鵲新流鍼書　越齋寿閑_ページ_1.jpg</v>
      </c>
    </row>
    <row r="370" spans="1:2" x14ac:dyDescent="0.15">
      <c r="A370" t="s">
        <v>354</v>
      </c>
      <c r="B370" t="str">
        <f>HYPERLINK("お/おう　黄疸　1607　扁鵲新流鍼書　越齋寿閑_ページ_2.jpg")</f>
        <v>お/おう　黄疸　1607　扁鵲新流鍼書　越齋寿閑_ページ_2.jpg</v>
      </c>
    </row>
    <row r="371" spans="1:2" x14ac:dyDescent="0.15">
      <c r="A371" t="s">
        <v>355</v>
      </c>
      <c r="B371" t="str">
        <f>HYPERLINK("お/おう　黄疸　1624　類経図翼　明・張介賓.jpg")</f>
        <v>お/おう　黄疸　1624　類経図翼　明・張介賓.jpg</v>
      </c>
    </row>
    <row r="372" spans="1:2" x14ac:dyDescent="0.15">
      <c r="A372" t="s">
        <v>356</v>
      </c>
      <c r="B372" t="str">
        <f>HYPERLINK("お/おう　黄疸　1679　鍼法奇貨　渡辺東伯_ページ_1.jpg")</f>
        <v>お/おう　黄疸　1679　鍼法奇貨　渡辺東伯_ページ_1.jpg</v>
      </c>
    </row>
    <row r="373" spans="1:2" x14ac:dyDescent="0.15">
      <c r="A373" t="s">
        <v>357</v>
      </c>
      <c r="B373" t="str">
        <f>HYPERLINK("お/おう　黄疸　1679　鍼法奇貨　渡辺東伯_ページ_2.jpg")</f>
        <v>お/おう　黄疸　1679　鍼法奇貨　渡辺東伯_ページ_2.jpg</v>
      </c>
    </row>
    <row r="374" spans="1:2" x14ac:dyDescent="0.15">
      <c r="A374" t="s">
        <v>358</v>
      </c>
      <c r="B374" t="str">
        <f>HYPERLINK("お/おう　黄疸　1679　鍼法奇貨　渡辺東伯_ページ_3.jpg")</f>
        <v>お/おう　黄疸　1679　鍼法奇貨　渡辺東伯_ページ_3.jpg</v>
      </c>
    </row>
    <row r="375" spans="1:2" x14ac:dyDescent="0.15">
      <c r="A375" t="s">
        <v>359</v>
      </c>
      <c r="B375" t="str">
        <f>HYPERLINK("お/おう　黄疸　1679　鍼法奇貨　渡辺東伯_ページ_4.jpg")</f>
        <v>お/おう　黄疸　1679　鍼法奇貨　渡辺東伯_ページ_4.jpg</v>
      </c>
    </row>
    <row r="376" spans="1:2" x14ac:dyDescent="0.15">
      <c r="A376" t="s">
        <v>360</v>
      </c>
      <c r="B376" t="str">
        <f>HYPERLINK("お/おう　黄疸　1680　鍼灸抜萃　著者未詳.jpg")</f>
        <v>お/おう　黄疸　1680　鍼灸抜萃　著者未詳.jpg</v>
      </c>
    </row>
    <row r="377" spans="1:2" x14ac:dyDescent="0.15">
      <c r="A377" t="s">
        <v>361</v>
      </c>
      <c r="B377" t="str">
        <f>HYPERLINK("お/おう　黄疸　1686　鍼灸要法指南　岩田利斎.jpg")</f>
        <v>お/おう　黄疸　1686　鍼灸要法指南　岩田利斎.jpg</v>
      </c>
    </row>
    <row r="378" spans="1:2" x14ac:dyDescent="0.15">
      <c r="A378" t="s">
        <v>362</v>
      </c>
      <c r="B378" t="str">
        <f>HYPERLINK("お/おう　黄疸　1693　鍼灸要歌集　安井昌玄_ページ_1.jpg")</f>
        <v>お/おう　黄疸　1693　鍼灸要歌集　安井昌玄_ページ_1.jpg</v>
      </c>
    </row>
    <row r="379" spans="1:2" x14ac:dyDescent="0.15">
      <c r="A379" t="s">
        <v>363</v>
      </c>
      <c r="B379" t="str">
        <f>HYPERLINK("お/おう　黄疸　1693　鍼灸要歌集　安井昌玄_ページ_2.jpg")</f>
        <v>お/おう　黄疸　1693　鍼灸要歌集　安井昌玄_ページ_2.jpg</v>
      </c>
    </row>
    <row r="380" spans="1:2" x14ac:dyDescent="0.15">
      <c r="A380" t="s">
        <v>364</v>
      </c>
      <c r="B380" t="str">
        <f>HYPERLINK("お/おう　黄疸　1693　鍼灸要歌集　安井昌玄_ページ_3.jpg")</f>
        <v>お/おう　黄疸　1693　鍼灸要歌集　安井昌玄_ページ_3.jpg</v>
      </c>
    </row>
    <row r="381" spans="1:2" x14ac:dyDescent="0.15">
      <c r="A381" t="s">
        <v>365</v>
      </c>
      <c r="B381" t="str">
        <f>HYPERLINK("お/おう　黄疸　1694　身の黄に成る病なり　療治之大概集　杉山和一.jpg")</f>
        <v>お/おう　黄疸　1694　身の黄に成る病なり　療治之大概集　杉山和一.jpg</v>
      </c>
    </row>
    <row r="382" spans="1:2" x14ac:dyDescent="0.15">
      <c r="A382" t="s">
        <v>366</v>
      </c>
      <c r="B382" t="str">
        <f>HYPERLINK("お/おう　黄疸　1694　選鍼三要集　杉山和一.jpg")</f>
        <v>お/おう　黄疸　1694　選鍼三要集　杉山和一.jpg</v>
      </c>
    </row>
    <row r="383" spans="1:2" x14ac:dyDescent="0.15">
      <c r="A383" t="s">
        <v>367</v>
      </c>
      <c r="B383" t="str">
        <f>HYPERLINK("お/おう　黄疸　1696　広益鍼灸抜萃　著者未詳_ページ_1.jpg")</f>
        <v>お/おう　黄疸　1696　広益鍼灸抜萃　著者未詳_ページ_1.jpg</v>
      </c>
    </row>
    <row r="384" spans="1:2" x14ac:dyDescent="0.15">
      <c r="A384" t="s">
        <v>368</v>
      </c>
      <c r="B384" t="str">
        <f>HYPERLINK("お/おう　黄疸　1696　広益鍼灸抜萃　著者未詳_ページ_2.jpg")</f>
        <v>お/おう　黄疸　1696　広益鍼灸抜萃　著者未詳_ページ_2.jpg</v>
      </c>
    </row>
    <row r="385" spans="1:2" x14ac:dyDescent="0.15">
      <c r="A385" t="s">
        <v>369</v>
      </c>
      <c r="B385" t="str">
        <f>HYPERLINK("お/おう　黄疸　1718　鍼灸重宝記　本郷正豊.jpg")</f>
        <v>お/おう　黄疸　1718　鍼灸重宝記　本郷正豊.jpg</v>
      </c>
    </row>
    <row r="386" spans="1:2" x14ac:dyDescent="0.15">
      <c r="A386" t="s">
        <v>370</v>
      </c>
      <c r="B386" t="str">
        <f>HYPERLINK("お/おう　黄疸　1758　灸ぜつ塩土伝　三宅意安_ページ_1.jpg")</f>
        <v>お/おう　黄疸　1758　灸ぜつ塩土伝　三宅意安_ページ_1.jpg</v>
      </c>
    </row>
    <row r="387" spans="1:2" x14ac:dyDescent="0.15">
      <c r="A387" t="s">
        <v>371</v>
      </c>
      <c r="B387" t="str">
        <f>HYPERLINK("お/おう　黄疸　1758　灸ぜつ塩土伝　三宅意安_ページ_2.jpg")</f>
        <v>お/おう　黄疸　1758　灸ぜつ塩土伝　三宅意安_ページ_2.jpg</v>
      </c>
    </row>
    <row r="388" spans="1:2" x14ac:dyDescent="0.15">
      <c r="A388" t="s">
        <v>372</v>
      </c>
      <c r="B388" t="str">
        <f>HYPERLINK("お/おう　黄疸　1761　挨穴捷径　杉原敦.jpg")</f>
        <v>お/おう　黄疸　1761　挨穴捷径　杉原敦.jpg</v>
      </c>
    </row>
    <row r="389" spans="1:2" x14ac:dyDescent="0.15">
      <c r="A389" t="s">
        <v>373</v>
      </c>
      <c r="B389" t="str">
        <f>HYPERLINK("お/おう　黄疸　1767　鍼灸則　菅沼周桂_ページ_1.jpg")</f>
        <v>お/おう　黄疸　1767　鍼灸則　菅沼周桂_ページ_1.jpg</v>
      </c>
    </row>
    <row r="390" spans="1:2" x14ac:dyDescent="0.15">
      <c r="A390" t="s">
        <v>374</v>
      </c>
      <c r="B390" t="str">
        <f>HYPERLINK("お/おう　黄疸　1767　鍼灸則　菅沼周桂_ページ_2.jpg")</f>
        <v>お/おう　黄疸　1767　鍼灸則　菅沼周桂_ページ_2.jpg</v>
      </c>
    </row>
    <row r="391" spans="1:2" x14ac:dyDescent="0.15">
      <c r="A391" t="s">
        <v>375</v>
      </c>
      <c r="B391" t="str">
        <f>HYPERLINK("お/おう　黄疸　1773　鍼灸手引草　大簡室主人_ページ_1.jpg")</f>
        <v>お/おう　黄疸　1773　鍼灸手引草　大簡室主人_ページ_1.jpg</v>
      </c>
    </row>
    <row r="392" spans="1:2" x14ac:dyDescent="0.15">
      <c r="A392" t="s">
        <v>376</v>
      </c>
      <c r="B392" t="str">
        <f>HYPERLINK("お/おう　黄疸　1773　鍼灸手引草　大簡室主人_ページ_2.jpg")</f>
        <v>お/おう　黄疸　1773　鍼灸手引草　大簡室主人_ページ_2.jpg</v>
      </c>
    </row>
    <row r="393" spans="1:2" x14ac:dyDescent="0.15">
      <c r="A393" t="s">
        <v>377</v>
      </c>
      <c r="B393" t="str">
        <f>HYPERLINK("お/おう　黄疸　1780　鍼灸極秘伝　木村太沖.jpg")</f>
        <v>お/おう　黄疸　1780　鍼灸極秘伝　木村太沖.jpg</v>
      </c>
    </row>
    <row r="394" spans="1:2" x14ac:dyDescent="0.15">
      <c r="A394" t="s">
        <v>378</v>
      </c>
      <c r="B394" t="str">
        <f>HYPERLINK("お/おう　黄疸　1792　鍼法要集　源長起_ページ_1.jpg")</f>
        <v>お/おう　黄疸　1792　鍼法要集　源長起_ページ_1.jpg</v>
      </c>
    </row>
    <row r="395" spans="1:2" x14ac:dyDescent="0.15">
      <c r="A395" t="s">
        <v>379</v>
      </c>
      <c r="B395" t="str">
        <f>HYPERLINK("お/おう　黄疸　1792　鍼法要集　源長起_ページ_2.jpg")</f>
        <v>お/おう　黄疸　1792　鍼法要集　源長起_ページ_2.jpg</v>
      </c>
    </row>
    <row r="396" spans="1:2" x14ac:dyDescent="0.15">
      <c r="A396" t="s">
        <v>380</v>
      </c>
      <c r="B396" t="str">
        <f>HYPERLINK("お/おう　黄疸　1792　鍼法要集　源長起_ページ_3.jpg")</f>
        <v>お/おう　黄疸　1792　鍼法要集　源長起_ページ_3.jpg</v>
      </c>
    </row>
    <row r="397" spans="1:2" x14ac:dyDescent="0.15">
      <c r="A397" t="s">
        <v>381</v>
      </c>
      <c r="B397" t="str">
        <f>HYPERLINK("お/おう　黄疸　1794　杉山流鍼術　島浦和田一.jpg")</f>
        <v>お/おう　黄疸　1794　杉山流鍼術　島浦和田一.jpg</v>
      </c>
    </row>
    <row r="398" spans="1:2" x14ac:dyDescent="0.15">
      <c r="A398" t="s">
        <v>382</v>
      </c>
      <c r="B398" t="str">
        <f>HYPERLINK("お/おう　黄疸　1800　鍼灸備要　小坂元祐.jpg")</f>
        <v>お/おう　黄疸　1800　鍼灸備要　小坂元祐.jpg</v>
      </c>
    </row>
    <row r="399" spans="1:2" x14ac:dyDescent="0.15">
      <c r="A399" t="s">
        <v>383</v>
      </c>
      <c r="B399" t="str">
        <f>HYPERLINK("お/おう　黄疸　1807　続名家灸選　平井庸信_ページ_1.jpg")</f>
        <v>お/おう　黄疸　1807　続名家灸選　平井庸信_ページ_1.jpg</v>
      </c>
    </row>
    <row r="400" spans="1:2" x14ac:dyDescent="0.15">
      <c r="A400" t="s">
        <v>384</v>
      </c>
      <c r="B400" t="str">
        <f>HYPERLINK("お/おう　黄疸　1807　続名家灸選　平井庸信_ページ_2.jpg")</f>
        <v>お/おう　黄疸　1807　続名家灸選　平井庸信_ページ_2.jpg</v>
      </c>
    </row>
    <row r="401" spans="1:2" x14ac:dyDescent="0.15">
      <c r="A401" t="s">
        <v>385</v>
      </c>
      <c r="B401" t="str">
        <f>HYPERLINK("お/おう　黄疸　1813　名家灸選三編　平井庸信.jpg")</f>
        <v>お/おう　黄疸　1813　名家灸選三編　平井庸信.jpg</v>
      </c>
    </row>
    <row r="402" spans="1:2" x14ac:dyDescent="0.15">
      <c r="A402" t="s">
        <v>386</v>
      </c>
      <c r="B402" t="str">
        <f>HYPERLINK("お/おう　黄疸　1912年（大正01）　鍼灸手引草　久木田七郎.jpg")</f>
        <v>お/おう　黄疸　1912年（大正01）　鍼灸手引草　久木田七郎.jpg</v>
      </c>
    </row>
    <row r="403" spans="1:2" x14ac:dyDescent="0.15">
      <c r="A403" t="s">
        <v>387</v>
      </c>
      <c r="B403" t="str">
        <f>HYPERLINK("お/おう　黄疸　成書年未詳　灸穴集　著者未詳_ページ_1.jpg")</f>
        <v>お/おう　黄疸　成書年未詳　灸穴集　著者未詳_ページ_1.jpg</v>
      </c>
    </row>
    <row r="404" spans="1:2" x14ac:dyDescent="0.15">
      <c r="A404" t="s">
        <v>388</v>
      </c>
      <c r="B404" t="str">
        <f>HYPERLINK("お/おう　黄疸　成書年未詳　灸穴集　著者未詳_ページ_2.jpg")</f>
        <v>お/おう　黄疸　成書年未詳　灸穴集　著者未詳_ページ_2.jpg</v>
      </c>
    </row>
    <row r="405" spans="1:2" x14ac:dyDescent="0.15">
      <c r="A405" t="s">
        <v>389</v>
      </c>
      <c r="B405" t="str">
        <f>HYPERLINK("お/おう　黄疸　成書年未詳　灸穴集　著者未詳_ページ_3.jpg")</f>
        <v>お/おう　黄疸　成書年未詳　灸穴集　著者未詳_ページ_3.jpg</v>
      </c>
    </row>
    <row r="406" spans="1:2" x14ac:dyDescent="0.15">
      <c r="A406" t="s">
        <v>390</v>
      </c>
      <c r="B406" t="str">
        <f>HYPERLINK("お/おう　黄疸　成書年未詳　灸穴集　著者未詳_ページ_4.jpg")</f>
        <v>お/おう　黄疸　成書年未詳　灸穴集　著者未詳_ページ_4.jpg</v>
      </c>
    </row>
    <row r="407" spans="1:2" x14ac:dyDescent="0.15">
      <c r="A407" t="s">
        <v>391</v>
      </c>
      <c r="B407" t="str">
        <f>HYPERLINK("お/おう　黄疸　成書年未詳　灸穴集　著者未詳_ページ_5.jpg")</f>
        <v>お/おう　黄疸　成書年未詳　灸穴集　著者未詳_ページ_5.jpg</v>
      </c>
    </row>
    <row r="408" spans="1:2" x14ac:dyDescent="0.15">
      <c r="A408" t="s">
        <v>392</v>
      </c>
      <c r="B408" t="str">
        <f>HYPERLINK("お/おう　黄疸　成書年未詳　経穴図解　著者未詳.jpg")</f>
        <v>お/おう　黄疸　成書年未詳　経穴図解　著者未詳.jpg</v>
      </c>
    </row>
    <row r="409" spans="1:2" x14ac:dyDescent="0.15">
      <c r="A409" t="s">
        <v>393</v>
      </c>
      <c r="B409" t="str">
        <f>HYPERLINK("お/おう　黄疸（わうだん）　きばむ病　肝臓胆液充積症　1887（明治20）　鍼灸備要　青山道醇.jpg")</f>
        <v>お/おう　黄疸（わうだん）　きばむ病　肝臓胆液充積症　1887（明治20）　鍼灸備要　青山道醇.jpg</v>
      </c>
    </row>
    <row r="410" spans="1:2" x14ac:dyDescent="0.15">
      <c r="A410" t="s">
        <v>394</v>
      </c>
      <c r="B410" t="str">
        <f>HYPERLINK("お/おう　黄胆　1220　鍼灸資生経　王執中_ページ_1.jpg")</f>
        <v>お/おう　黄胆　1220　鍼灸資生経　王執中_ページ_1.jpg</v>
      </c>
    </row>
    <row r="411" spans="1:2" x14ac:dyDescent="0.15">
      <c r="A411" t="s">
        <v>395</v>
      </c>
      <c r="B411" t="str">
        <f>HYPERLINK("お/おう　黄胆　1220　鍼灸資生経　王執中_ページ_2.jpg")</f>
        <v>お/おう　黄胆　1220　鍼灸資生経　王執中_ページ_2.jpg</v>
      </c>
    </row>
    <row r="412" spans="1:2" x14ac:dyDescent="0.15">
      <c r="A412" t="s">
        <v>396</v>
      </c>
      <c r="B412" t="str">
        <f>HYPERLINK("お/おう　黄胖（はん）　あをのやまひ　萎黄病　1887（明治20）　鍼灸備要　青山道醇.jpg")</f>
        <v>お/おう　黄胖（はん）　あをのやまひ　萎黄病　1887（明治20）　鍼灸備要　青山道醇.jpg</v>
      </c>
    </row>
    <row r="413" spans="1:2" x14ac:dyDescent="0.15">
      <c r="A413" t="s">
        <v>397</v>
      </c>
      <c r="B413" t="str">
        <f>HYPERLINK("お/おう　黄腫　1767　鍼灸則　菅沼周桂.jpg")</f>
        <v>お/おう　黄腫　1767　鍼灸則　菅沼周桂.jpg</v>
      </c>
    </row>
    <row r="414" spans="1:2" x14ac:dyDescent="0.15">
      <c r="A414" t="s">
        <v>398</v>
      </c>
      <c r="B414" t="str">
        <f>HYPERLINK("か/か　下風　1607　扁鵲新流鍼書　越齋寿閑_ページ_1.jpg")</f>
        <v>か/か　下風　1607　扁鵲新流鍼書　越齋寿閑_ページ_1.jpg</v>
      </c>
    </row>
    <row r="415" spans="1:2" x14ac:dyDescent="0.15">
      <c r="A415" t="s">
        <v>399</v>
      </c>
      <c r="B415" t="str">
        <f>HYPERLINK("か/か　下風　1607　扁鵲新流鍼書　越齋寿閑_ページ_2.jpg")</f>
        <v>か/か　下風　1607　扁鵲新流鍼書　越齋寿閑_ページ_2.jpg</v>
      </c>
    </row>
    <row r="416" spans="1:2" x14ac:dyDescent="0.15">
      <c r="A416" t="s">
        <v>400</v>
      </c>
      <c r="B416" t="str">
        <f>HYPERLINK("か/か　夏痩治法　1693　鍼灸要歌集　安井昌玄.jpg")</f>
        <v>か/か　夏痩治法　1693　鍼灸要歌集　安井昌玄.jpg</v>
      </c>
    </row>
    <row r="417" spans="1:2" x14ac:dyDescent="0.15">
      <c r="A417" t="s">
        <v>401</v>
      </c>
      <c r="B417" t="str">
        <f>HYPERLINK("か/か　家法八華　1758　灸ぜつ塩土伝　三宅意安_ページ_1.jpg")</f>
        <v>か/か　家法八華　1758　灸ぜつ塩土伝　三宅意安_ページ_1.jpg</v>
      </c>
    </row>
    <row r="418" spans="1:2" x14ac:dyDescent="0.15">
      <c r="A418" t="s">
        <v>402</v>
      </c>
      <c r="B418" t="str">
        <f>HYPERLINK("か/か　家法八華　1758　灸ぜつ塩土伝　三宅意安_ページ_2.jpg")</f>
        <v>か/か　家法八華　1758　灸ぜつ塩土伝　三宅意安_ページ_2.jpg</v>
      </c>
    </row>
    <row r="419" spans="1:2" x14ac:dyDescent="0.15">
      <c r="A419" t="s">
        <v>403</v>
      </c>
      <c r="B419" t="str">
        <f>HYPERLINK("か/か　家法八華　1758　灸ぜつ塩土伝　三宅意安_ページ_3.jpg")</f>
        <v>か/か　家法八華　1758　灸ぜつ塩土伝　三宅意安_ページ_3.jpg</v>
      </c>
    </row>
    <row r="420" spans="1:2" x14ac:dyDescent="0.15">
      <c r="A420" t="s">
        <v>404</v>
      </c>
      <c r="B420" t="str">
        <f>HYPERLINK("か/か　家法八華　1758　灸ぜつ塩土伝　三宅意安_ページ_4.jpg")</f>
        <v>か/か　家法八華　1758　灸ぜつ塩土伝　三宅意安_ページ_4.jpg</v>
      </c>
    </row>
    <row r="421" spans="1:2" x14ac:dyDescent="0.15">
      <c r="A421" t="s">
        <v>405</v>
      </c>
      <c r="B421" t="str">
        <f>HYPERLINK("か/か　家法八華　1758　灸ぜつ塩土伝　三宅意安_ページ_5.jpg")</f>
        <v>か/か　家法八華　1758　灸ぜつ塩土伝　三宅意安_ページ_5.jpg</v>
      </c>
    </row>
    <row r="422" spans="1:2" x14ac:dyDescent="0.15">
      <c r="A422" t="s">
        <v>406</v>
      </c>
      <c r="B422" t="str">
        <f>HYPERLINK("か/か　火性　1792　鍼法要集　源長起_ページ_1.jpg")</f>
        <v>か/か　火性　1792　鍼法要集　源長起_ページ_1.jpg</v>
      </c>
    </row>
    <row r="423" spans="1:2" x14ac:dyDescent="0.15">
      <c r="A423" t="s">
        <v>407</v>
      </c>
      <c r="B423" t="str">
        <f>HYPERLINK("か/か　火性　1792　鍼法要集　源長起_ページ_2.jpg")</f>
        <v>か/か　火性　1792　鍼法要集　源長起_ページ_2.jpg</v>
      </c>
    </row>
    <row r="424" spans="1:2" x14ac:dyDescent="0.15">
      <c r="A424" t="s">
        <v>408</v>
      </c>
      <c r="B424" t="str">
        <f>HYPERLINK("か/か　火性　1792　鍼法要集　源長起_ページ_3.jpg")</f>
        <v>か/か　火性　1792　鍼法要集　源長起_ページ_3.jpg</v>
      </c>
    </row>
    <row r="425" spans="1:2" x14ac:dyDescent="0.15">
      <c r="A425" t="s">
        <v>409</v>
      </c>
      <c r="B425" t="str">
        <f>HYPERLINK("か/かい　懐妊　1767　鍼灸則　菅沼周桂.jpg")</f>
        <v>か/かい　懐妊　1767　鍼灸則　菅沼周桂.jpg</v>
      </c>
    </row>
    <row r="426" spans="1:2" x14ac:dyDescent="0.15">
      <c r="A426" t="s">
        <v>410</v>
      </c>
      <c r="B426" t="str">
        <f>HYPERLINK("か/かい　懐妊之針　1613　古今集鍼法　長生庵了味か.jpg")</f>
        <v>か/かい　懐妊之針　1613　古今集鍼法　長生庵了味か.jpg</v>
      </c>
    </row>
    <row r="427" spans="1:2" x14ac:dyDescent="0.15">
      <c r="A427" t="s">
        <v>411</v>
      </c>
      <c r="B427" t="str">
        <f>HYPERLINK("か/かい　疥瘡（がいそう）　痂疥　風疹　1686　鍼灸要法指南　岩田利斎.jpg")</f>
        <v>か/かい　疥瘡（がいそう）　痂疥　風疹　1686　鍼灸要法指南　岩田利斎.jpg</v>
      </c>
    </row>
    <row r="428" spans="1:2" x14ac:dyDescent="0.15">
      <c r="A428" t="s">
        <v>412</v>
      </c>
      <c r="B428" t="str">
        <f>HYPERLINK("か/かく　咯血（かくけつ）（＝喀血）　俄（にわか）に血を吐く病　肺臓出血、又、肺出血　1887（明治20）　鍼灸備要　青山道醇.jpg")</f>
        <v>か/かく　咯血（かくけつ）（＝喀血）　俄（にわか）に血を吐く病　肺臓出血、又、肺出血　1887（明治20）　鍼灸備要　青山道醇.jpg</v>
      </c>
    </row>
    <row r="429" spans="1:2" x14ac:dyDescent="0.15">
      <c r="A429" t="s">
        <v>413</v>
      </c>
      <c r="B429" t="str">
        <f>HYPERLINK("か/かく　咳血　1794　杉山流鍼術　島浦和田一.jpg")</f>
        <v>か/かく　咳血　1794　杉山流鍼術　島浦和田一.jpg</v>
      </c>
    </row>
    <row r="430" spans="1:2" x14ac:dyDescent="0.15">
      <c r="A430" t="s">
        <v>414</v>
      </c>
      <c r="B430" t="str">
        <f>HYPERLINK("か/かく　喀血　1767　鍼灸則　菅沼周桂.jpg")</f>
        <v>か/かく　喀血　1767　鍼灸則　菅沼周桂.jpg</v>
      </c>
    </row>
    <row r="431" spans="1:2" x14ac:dyDescent="0.15">
      <c r="A431" t="s">
        <v>415</v>
      </c>
      <c r="B431" t="str">
        <f>HYPERLINK("か/かく　喀血　1794　杉山流鍼術　島浦和田一.jpg")</f>
        <v>か/かく　喀血　1794　杉山流鍼術　島浦和田一.jpg</v>
      </c>
    </row>
    <row r="432" spans="1:2" x14ac:dyDescent="0.15">
      <c r="A432" t="s">
        <v>416</v>
      </c>
      <c r="B432" t="str">
        <f>HYPERLINK("か/かく　喀血　1912年（大正01）　鍼灸手引草　久木田七郎.jpg")</f>
        <v>か/かく　喀血　1912年（大正01）　鍼灸手引草　久木田七郎.jpg</v>
      </c>
    </row>
    <row r="433" spans="1:2" x14ac:dyDescent="0.15">
      <c r="A433" t="s">
        <v>417</v>
      </c>
      <c r="B433" t="str">
        <f>HYPERLINK("か/かく　嘔吐　膈噎　反胃　呑酸　1792　鍼法要集　源長起_ページ_1.jpg")</f>
        <v>か/かく　嘔吐　膈噎　反胃　呑酸　1792　鍼法要集　源長起_ページ_1.jpg</v>
      </c>
    </row>
    <row r="434" spans="1:2" x14ac:dyDescent="0.15">
      <c r="A434" t="s">
        <v>418</v>
      </c>
      <c r="B434" t="str">
        <f>HYPERLINK("か/かく　嘔吐　膈噎　反胃　呑酸　1792　鍼法要集　源長起_ページ_2.jpg")</f>
        <v>か/かく　嘔吐　膈噎　反胃　呑酸　1792　鍼法要集　源長起_ページ_2.jpg</v>
      </c>
    </row>
    <row r="435" spans="1:2" x14ac:dyDescent="0.15">
      <c r="A435" t="s">
        <v>419</v>
      </c>
      <c r="B435" t="str">
        <f>HYPERLINK("か/かく　嘔吐　膈噎　反胃　呑酸　1792　鍼法要集　源長起_ページ_3.jpg")</f>
        <v>か/かく　嘔吐　膈噎　反胃　呑酸　1792　鍼法要集　源長起_ページ_3.jpg</v>
      </c>
    </row>
    <row r="436" spans="1:2" x14ac:dyDescent="0.15">
      <c r="A436" t="s">
        <v>420</v>
      </c>
      <c r="B436" t="str">
        <f>HYPERLINK("か/かく　客忤（小児）　1669　鍼灸枢要　山本玄通_ページ_1.jpg")</f>
        <v>か/かく　客忤（小児）　1669　鍼灸枢要　山本玄通_ページ_1.jpg</v>
      </c>
    </row>
    <row r="437" spans="1:2" x14ac:dyDescent="0.15">
      <c r="A437" t="s">
        <v>421</v>
      </c>
      <c r="B437" t="str">
        <f>HYPERLINK("か/かく　客忤（小児）　1669　鍼灸枢要　山本玄通_ページ_2.jpg")</f>
        <v>か/かく　客忤（小児）　1669　鍼灸枢要　山本玄通_ページ_2.jpg</v>
      </c>
    </row>
    <row r="438" spans="1:2" x14ac:dyDescent="0.15">
      <c r="A438" t="s">
        <v>422</v>
      </c>
      <c r="B438" t="str">
        <f>HYPERLINK("か/かく　痛風　脚気　1792　鍼法要集　源長起_ページ_1.jpg")</f>
        <v>か/かく　痛風　脚気　1792　鍼法要集　源長起_ページ_1.jpg</v>
      </c>
    </row>
    <row r="439" spans="1:2" x14ac:dyDescent="0.15">
      <c r="A439" t="s">
        <v>423</v>
      </c>
      <c r="B439" t="str">
        <f>HYPERLINK("か/かく　痛風　脚気　1792　鍼法要集　源長起_ページ_2.jpg")</f>
        <v>か/かく　痛風　脚気　1792　鍼法要集　源長起_ページ_2.jpg</v>
      </c>
    </row>
    <row r="440" spans="1:2" x14ac:dyDescent="0.15">
      <c r="A440" t="s">
        <v>424</v>
      </c>
      <c r="B440" t="str">
        <f>HYPERLINK("か/かく　痛風　脚気　1792　鍼法要集　源長起_ページ_3.jpg")</f>
        <v>か/かく　痛風　脚気　1792　鍼法要集　源長起_ページ_3.jpg</v>
      </c>
    </row>
    <row r="441" spans="1:2" x14ac:dyDescent="0.15">
      <c r="A441" t="s">
        <v>425</v>
      </c>
      <c r="B441" t="str">
        <f>HYPERLINK("か/かく　脚弱（脚痺）　1220　鍼灸資生経　王執中_ページ_1.jpg")</f>
        <v>か/かく　脚弱（脚痺）　1220　鍼灸資生経　王執中_ページ_1.jpg</v>
      </c>
    </row>
    <row r="442" spans="1:2" x14ac:dyDescent="0.15">
      <c r="A442" t="s">
        <v>426</v>
      </c>
      <c r="B442" t="str">
        <f>HYPERLINK("か/かく　脚弱（脚痺）　1220　鍼灸資生経　王執中_ページ_2.jpg")</f>
        <v>か/かく　脚弱（脚痺）　1220　鍼灸資生経　王執中_ページ_2.jpg</v>
      </c>
    </row>
    <row r="443" spans="1:2" x14ac:dyDescent="0.15">
      <c r="A443" t="s">
        <v>427</v>
      </c>
      <c r="B443" t="str">
        <f>HYPERLINK("か/かく　脚気　1220　鍼灸資生経　王執中_ページ_1.jpg")</f>
        <v>か/かく　脚気　1220　鍼灸資生経　王執中_ページ_1.jpg</v>
      </c>
    </row>
    <row r="444" spans="1:2" x14ac:dyDescent="0.15">
      <c r="A444" t="s">
        <v>428</v>
      </c>
      <c r="B444" t="str">
        <f>HYPERLINK("か/かく　脚気　1220　鍼灸資生経　王執中_ページ_2.jpg")</f>
        <v>か/かく　脚気　1220　鍼灸資生経　王執中_ページ_2.jpg</v>
      </c>
    </row>
    <row r="445" spans="1:2" x14ac:dyDescent="0.15">
      <c r="A445" t="s">
        <v>429</v>
      </c>
      <c r="B445" t="str">
        <f>HYPERLINK("か/かく　脚気　1220　鍼灸資生経　王執中_ページ_3.jpg")</f>
        <v>か/かく　脚気　1220　鍼灸資生経　王執中_ページ_3.jpg</v>
      </c>
    </row>
    <row r="446" spans="1:2" x14ac:dyDescent="0.15">
      <c r="A446" t="s">
        <v>430</v>
      </c>
      <c r="B446" t="str">
        <f>HYPERLINK("か/かく　脚気　1224　脚気灸風市　医説　宋・張杲_ページ_1.jpg")</f>
        <v>か/かく　脚気　1224　脚気灸風市　医説　宋・張杲_ページ_1.jpg</v>
      </c>
    </row>
    <row r="447" spans="1:2" x14ac:dyDescent="0.15">
      <c r="A447" t="s">
        <v>431</v>
      </c>
      <c r="B447" t="str">
        <f>HYPERLINK("か/かく　脚気　1224　脚気灸風市　医説　宋・張杲_ページ_2.jpg")</f>
        <v>か/かく　脚気　1224　脚気灸風市　医説　宋・張杲_ページ_2.jpg</v>
      </c>
    </row>
    <row r="448" spans="1:2" x14ac:dyDescent="0.15">
      <c r="A448" t="s">
        <v>432</v>
      </c>
      <c r="B448" t="str">
        <f>HYPERLINK("か/かく　脚気　1299　続添要穴集　惟宗時俊_ページ_1.jpg")</f>
        <v>か/かく　脚気　1299　続添要穴集　惟宗時俊_ページ_1.jpg</v>
      </c>
    </row>
    <row r="449" spans="1:2" x14ac:dyDescent="0.15">
      <c r="A449" t="s">
        <v>433</v>
      </c>
      <c r="B449" t="str">
        <f>HYPERLINK("か/かく　脚気　1299　続添要穴集　惟宗時俊_ページ_2.jpg")</f>
        <v>か/かく　脚気　1299　続添要穴集　惟宗時俊_ページ_2.jpg</v>
      </c>
    </row>
    <row r="450" spans="1:2" x14ac:dyDescent="0.15">
      <c r="A450" t="s">
        <v>434</v>
      </c>
      <c r="B450" t="str">
        <f>HYPERLINK("か/かく　脚気　1329　扁鵲神応鍼灸玉龍経　元・王国瑞_ページ_1.jpg")</f>
        <v>か/かく　脚気　1329　扁鵲神応鍼灸玉龍経　元・王国瑞_ページ_1.jpg</v>
      </c>
    </row>
    <row r="451" spans="1:2" x14ac:dyDescent="0.15">
      <c r="A451" t="s">
        <v>435</v>
      </c>
      <c r="B451" t="str">
        <f>HYPERLINK("か/かく　脚気　1329　扁鵲神応鍼灸玉龍経　元・王国瑞_ページ_2.jpg")</f>
        <v>か/かく　脚気　1329　扁鵲神応鍼灸玉龍経　元・王国瑞_ページ_2.jpg</v>
      </c>
    </row>
    <row r="452" spans="1:2" x14ac:dyDescent="0.15">
      <c r="A452" t="s">
        <v>436</v>
      </c>
      <c r="B452" t="str">
        <f>HYPERLINK("か/かく　脚気　1537　鍼灸聚英　明・高武.jpg")</f>
        <v>か/かく　脚気　1537　鍼灸聚英　明・高武.jpg</v>
      </c>
    </row>
    <row r="453" spans="1:2" x14ac:dyDescent="0.15">
      <c r="A453" t="s">
        <v>437</v>
      </c>
      <c r="B453" t="str">
        <f>HYPERLINK("か/かく　脚気　1574　兪穴参伍的法　秦宗巴_ページ_1.jpg")</f>
        <v>か/かく　脚気　1574　兪穴参伍的法　秦宗巴_ページ_1.jpg</v>
      </c>
    </row>
    <row r="454" spans="1:2" x14ac:dyDescent="0.15">
      <c r="A454" t="s">
        <v>438</v>
      </c>
      <c r="B454" t="str">
        <f>HYPERLINK("か/かく　脚気　1574　兪穴参伍的法　秦宗巴_ページ_2.jpg")</f>
        <v>か/かく　脚気　1574　兪穴参伍的法　秦宗巴_ページ_2.jpg</v>
      </c>
    </row>
    <row r="455" spans="1:2" x14ac:dyDescent="0.15">
      <c r="A455" t="s">
        <v>439</v>
      </c>
      <c r="B455" t="str">
        <f>HYPERLINK("か/かく　脚気　1594　鍼灸集要　曲直瀬道三_ページ_1.jpg")</f>
        <v>か/かく　脚気　1594　鍼灸集要　曲直瀬道三_ページ_1.jpg</v>
      </c>
    </row>
    <row r="456" spans="1:2" x14ac:dyDescent="0.15">
      <c r="A456" t="s">
        <v>440</v>
      </c>
      <c r="B456" t="str">
        <f>HYPERLINK("か/かく　脚気　1594　鍼灸集要　曲直瀬道三_ページ_2.jpg")</f>
        <v>か/かく　脚気　1594　鍼灸集要　曲直瀬道三_ページ_2.jpg</v>
      </c>
    </row>
    <row r="457" spans="1:2" x14ac:dyDescent="0.15">
      <c r="A457" t="s">
        <v>441</v>
      </c>
      <c r="B457" t="str">
        <f>HYPERLINK("か/かく　脚気　1607　扁鵲新流鍼書　越齋寿閑.jpg")</f>
        <v>か/かく　脚気　1607　扁鵲新流鍼書　越齋寿閑.jpg</v>
      </c>
    </row>
    <row r="458" spans="1:2" x14ac:dyDescent="0.15">
      <c r="A458" t="s">
        <v>442</v>
      </c>
      <c r="B458" t="str">
        <f>HYPERLINK("か/かく　脚気　1624　類経図翼　明・張介賓_ページ_1.jpg")</f>
        <v>か/かく　脚気　1624　類経図翼　明・張介賓_ページ_1.jpg</v>
      </c>
    </row>
    <row r="459" spans="1:2" x14ac:dyDescent="0.15">
      <c r="A459" t="s">
        <v>443</v>
      </c>
      <c r="B459" t="str">
        <f>HYPERLINK("か/かく　脚気　1624　類経図翼　明・張介賓_ページ_2.jpg")</f>
        <v>か/かく　脚気　1624　類経図翼　明・張介賓_ページ_2.jpg</v>
      </c>
    </row>
    <row r="460" spans="1:2" x14ac:dyDescent="0.15">
      <c r="A460" t="s">
        <v>444</v>
      </c>
      <c r="B460" t="str">
        <f>HYPERLINK("か/かく　脚気　1679　鍼法奇貨　渡辺東伯_ページ_1.jpg")</f>
        <v>か/かく　脚気　1679　鍼法奇貨　渡辺東伯_ページ_1.jpg</v>
      </c>
    </row>
    <row r="461" spans="1:2" x14ac:dyDescent="0.15">
      <c r="A461" t="s">
        <v>445</v>
      </c>
      <c r="B461" t="str">
        <f>HYPERLINK("か/かく　脚気　1679　鍼法奇貨　渡辺東伯_ページ_2.jpg")</f>
        <v>か/かく　脚気　1679　鍼法奇貨　渡辺東伯_ページ_2.jpg</v>
      </c>
    </row>
    <row r="462" spans="1:2" x14ac:dyDescent="0.15">
      <c r="A462" t="s">
        <v>446</v>
      </c>
      <c r="B462" t="str">
        <f>HYPERLINK("か/かく　脚気　1679　鍼法奇貨　渡辺東伯_ページ_3.jpg")</f>
        <v>か/かく　脚気　1679　鍼法奇貨　渡辺東伯_ページ_3.jpg</v>
      </c>
    </row>
    <row r="463" spans="1:2" x14ac:dyDescent="0.15">
      <c r="A463" t="s">
        <v>447</v>
      </c>
      <c r="B463" t="str">
        <f>HYPERLINK("か/かく　脚気　1680　鍼灸抜萃　著者未詳.jpg")</f>
        <v>か/かく　脚気　1680　鍼灸抜萃　著者未詳.jpg</v>
      </c>
    </row>
    <row r="464" spans="1:2" x14ac:dyDescent="0.15">
      <c r="A464" t="s">
        <v>448</v>
      </c>
      <c r="B464" t="str">
        <f>HYPERLINK("か/かく　脚気　1693　鍼灸要歌集　安井昌玄_ページ_1.jpg")</f>
        <v>か/かく　脚気　1693　鍼灸要歌集　安井昌玄_ページ_1.jpg</v>
      </c>
    </row>
    <row r="465" spans="1:2" x14ac:dyDescent="0.15">
      <c r="A465" t="s">
        <v>449</v>
      </c>
      <c r="B465" t="str">
        <f>HYPERLINK("か/かく　脚気　1693　鍼灸要歌集　安井昌玄_ページ_2.jpg")</f>
        <v>か/かく　脚気　1693　鍼灸要歌集　安井昌玄_ページ_2.jpg</v>
      </c>
    </row>
    <row r="466" spans="1:2" x14ac:dyDescent="0.15">
      <c r="A466" t="s">
        <v>450</v>
      </c>
      <c r="B466" t="str">
        <f>HYPERLINK("か/かく　脚気　1694　療治之大概集　杉山和一.jpg")</f>
        <v>か/かく　脚気　1694　療治之大概集　杉山和一.jpg</v>
      </c>
    </row>
    <row r="467" spans="1:2" x14ac:dyDescent="0.15">
      <c r="A467" t="s">
        <v>451</v>
      </c>
      <c r="B467" t="str">
        <f>HYPERLINK("か/かく　脚気　1694　選鍼三要集　杉山和一.jpg")</f>
        <v>か/かく　脚気　1694　選鍼三要集　杉山和一.jpg</v>
      </c>
    </row>
    <row r="468" spans="1:2" x14ac:dyDescent="0.15">
      <c r="A468" t="s">
        <v>452</v>
      </c>
      <c r="B468" t="str">
        <f>HYPERLINK("か/かく　脚気　1694　鍼灸そかい集　高津敬節.jpg")</f>
        <v>か/かく　脚気　1694　鍼灸そかい集　高津敬節.jpg</v>
      </c>
    </row>
    <row r="469" spans="1:2" x14ac:dyDescent="0.15">
      <c r="A469" t="s">
        <v>453</v>
      </c>
      <c r="B469" t="str">
        <f>HYPERLINK("か/かく　脚気　1696　広益鍼灸抜萃　著者未詳.jpg")</f>
        <v>か/かく　脚気　1696　広益鍼灸抜萃　著者未詳.jpg</v>
      </c>
    </row>
    <row r="470" spans="1:2" x14ac:dyDescent="0.15">
      <c r="A470" t="s">
        <v>454</v>
      </c>
      <c r="B470" t="str">
        <f>HYPERLINK("か/かく　脚気　1698　鍼灸抜粋大成　岡本一抱.jpg")</f>
        <v>か/かく　脚気　1698　鍼灸抜粋大成　岡本一抱.jpg</v>
      </c>
    </row>
    <row r="471" spans="1:2" x14ac:dyDescent="0.15">
      <c r="A471" t="s">
        <v>455</v>
      </c>
      <c r="B471" t="str">
        <f>HYPERLINK("か/かく　脚気　1718　あしのいたみ　鍼灸重宝記　本郷正豊.jpg")</f>
        <v>か/かく　脚気　1718　あしのいたみ　鍼灸重宝記　本郷正豊.jpg</v>
      </c>
    </row>
    <row r="472" spans="1:2" x14ac:dyDescent="0.15">
      <c r="A472" t="s">
        <v>456</v>
      </c>
      <c r="B472" t="str">
        <f>HYPERLINK("か/かく　脚気　1758　灸ぜつ塩土伝　三宅意安_ページ_1.jpg")</f>
        <v>か/かく　脚気　1758　灸ぜつ塩土伝　三宅意安_ページ_1.jpg</v>
      </c>
    </row>
    <row r="473" spans="1:2" x14ac:dyDescent="0.15">
      <c r="A473" t="s">
        <v>457</v>
      </c>
      <c r="B473" t="str">
        <f>HYPERLINK("か/かく　脚気　1758　灸ぜつ塩土伝　三宅意安_ページ_2.jpg")</f>
        <v>か/かく　脚気　1758　灸ぜつ塩土伝　三宅意安_ページ_2.jpg</v>
      </c>
    </row>
    <row r="474" spans="1:2" x14ac:dyDescent="0.15">
      <c r="A474" t="s">
        <v>458</v>
      </c>
      <c r="B474" t="str">
        <f>HYPERLINK("か/かく　脚気　1767　鍼灸則　菅沼周桂_ページ_1.jpg")</f>
        <v>か/かく　脚気　1767　鍼灸則　菅沼周桂_ページ_1.jpg</v>
      </c>
    </row>
    <row r="475" spans="1:2" x14ac:dyDescent="0.15">
      <c r="A475" t="s">
        <v>459</v>
      </c>
      <c r="B475" t="str">
        <f>HYPERLINK("か/かく　脚気　1767　鍼灸則　菅沼周桂_ページ_2.jpg")</f>
        <v>か/かく　脚気　1767　鍼灸則　菅沼周桂_ページ_2.jpg</v>
      </c>
    </row>
    <row r="476" spans="1:2" x14ac:dyDescent="0.15">
      <c r="A476" t="s">
        <v>460</v>
      </c>
      <c r="B476" t="str">
        <f>HYPERLINK("か/かく　脚気　1773　鍼灸手引草　大簡室主人_ページ_1.jpg")</f>
        <v>か/かく　脚気　1773　鍼灸手引草　大簡室主人_ページ_1.jpg</v>
      </c>
    </row>
    <row r="477" spans="1:2" x14ac:dyDescent="0.15">
      <c r="A477" t="s">
        <v>461</v>
      </c>
      <c r="B477" t="str">
        <f>HYPERLINK("か/かく　脚気　1773　鍼灸手引草　大簡室主人_ページ_2.jpg")</f>
        <v>か/かく　脚気　1773　鍼灸手引草　大簡室主人_ページ_2.jpg</v>
      </c>
    </row>
    <row r="478" spans="1:2" x14ac:dyDescent="0.15">
      <c r="A478" t="s">
        <v>462</v>
      </c>
      <c r="B478" t="str">
        <f>HYPERLINK("か/かく　脚気　1773　鍼灸手引草　大簡室主人_ページ_3.jpg")</f>
        <v>か/かく　脚気　1773　鍼灸手引草　大簡室主人_ページ_3.jpg</v>
      </c>
    </row>
    <row r="479" spans="1:2" x14ac:dyDescent="0.15">
      <c r="A479" t="s">
        <v>463</v>
      </c>
      <c r="B479" t="str">
        <f>HYPERLINK("か/かく　脚気　1780　鍼灸極秘伝　木村太沖.jpg")</f>
        <v>か/かく　脚気　1780　鍼灸極秘伝　木村太沖.jpg</v>
      </c>
    </row>
    <row r="480" spans="1:2" x14ac:dyDescent="0.15">
      <c r="A480" t="s">
        <v>464</v>
      </c>
      <c r="B480" t="str">
        <f>HYPERLINK("か/かく　脚気　1785　鍼書　本城義軒.jpg")</f>
        <v>か/かく　脚気　1785　鍼書　本城義軒.jpg</v>
      </c>
    </row>
    <row r="481" spans="1:2" x14ac:dyDescent="0.15">
      <c r="A481" t="s">
        <v>465</v>
      </c>
      <c r="B481" t="str">
        <f>HYPERLINK("か/かく　脚気　1794　杉山流鍼術　島浦和田一_ページ_1.jpg")</f>
        <v>か/かく　脚気　1794　杉山流鍼術　島浦和田一_ページ_1.jpg</v>
      </c>
    </row>
    <row r="482" spans="1:2" x14ac:dyDescent="0.15">
      <c r="A482" t="s">
        <v>466</v>
      </c>
      <c r="B482" t="str">
        <f>HYPERLINK("か/かく　脚気　1794　杉山流鍼術　島浦和田一_ページ_2.jpg")</f>
        <v>か/かく　脚気　1794　杉山流鍼術　島浦和田一_ページ_2.jpg</v>
      </c>
    </row>
    <row r="483" spans="1:2" x14ac:dyDescent="0.15">
      <c r="A483" t="s">
        <v>467</v>
      </c>
      <c r="B483" t="str">
        <f>HYPERLINK("か/かく　脚気　1807　続名家灸選　平井庸信_ページ_1.jpg")</f>
        <v>か/かく　脚気　1807　続名家灸選　平井庸信_ページ_1.jpg</v>
      </c>
    </row>
    <row r="484" spans="1:2" x14ac:dyDescent="0.15">
      <c r="A484" t="s">
        <v>468</v>
      </c>
      <c r="B484" t="str">
        <f>HYPERLINK("か/かく　脚気　1807　続名家灸選　平井庸信_ページ_2.jpg")</f>
        <v>か/かく　脚気　1807　続名家灸選　平井庸信_ページ_2.jpg</v>
      </c>
    </row>
    <row r="485" spans="1:2" x14ac:dyDescent="0.15">
      <c r="A485" t="s">
        <v>469</v>
      </c>
      <c r="B485" t="str">
        <f>HYPERLINK("か/かく　脚気　1813　名家灸選三編　平井庸信.jpg")</f>
        <v>か/かく　脚気　1813　名家灸選三編　平井庸信.jpg</v>
      </c>
    </row>
    <row r="486" spans="1:2" x14ac:dyDescent="0.15">
      <c r="A486" t="s">
        <v>470</v>
      </c>
      <c r="B486" t="str">
        <f>HYPERLINK("か/かく　脚気　成書年未詳　灸穴集　著者未詳_ページ_1.jpg")</f>
        <v>か/かく　脚気　成書年未詳　灸穴集　著者未詳_ページ_1.jpg</v>
      </c>
    </row>
    <row r="487" spans="1:2" x14ac:dyDescent="0.15">
      <c r="A487" t="s">
        <v>471</v>
      </c>
      <c r="B487" t="str">
        <f>HYPERLINK("か/かく　脚気　成書年未詳　灸穴集　著者未詳_ページ_2.jpg")</f>
        <v>か/かく　脚気　成書年未詳　灸穴集　著者未詳_ページ_2.jpg</v>
      </c>
    </row>
    <row r="488" spans="1:2" x14ac:dyDescent="0.15">
      <c r="A488" t="s">
        <v>472</v>
      </c>
      <c r="B488" t="str">
        <f>HYPERLINK("か/かく　脚気　成書年未詳　灸穴集　著者未詳_ページ_3.jpg")</f>
        <v>か/かく　脚気　成書年未詳　灸穴集　著者未詳_ページ_3.jpg</v>
      </c>
    </row>
    <row r="489" spans="1:2" x14ac:dyDescent="0.15">
      <c r="A489" t="s">
        <v>473</v>
      </c>
      <c r="B489" t="str">
        <f>HYPERLINK("か/かく　脚気　成書年未詳　灸穴集　著者未詳_ページ_4.jpg")</f>
        <v>か/かく　脚気　成書年未詳　灸穴集　著者未詳_ページ_4.jpg</v>
      </c>
    </row>
    <row r="490" spans="1:2" x14ac:dyDescent="0.15">
      <c r="A490" t="s">
        <v>474</v>
      </c>
      <c r="B490" t="str">
        <f>HYPERLINK("か/かく　脚気　成書年未詳　灸穴集　著者未詳_ページ_5.jpg")</f>
        <v>か/かく　脚気　成書年未詳　灸穴集　著者未詳_ページ_5.jpg</v>
      </c>
    </row>
    <row r="491" spans="1:2" x14ac:dyDescent="0.15">
      <c r="A491" t="s">
        <v>475</v>
      </c>
      <c r="B491" t="str">
        <f>HYPERLINK("か/かく　脚気　成書年未詳　灸穴集　著者未詳_ページ_6.jpg")</f>
        <v>か/かく　脚気　成書年未詳　灸穴集　著者未詳_ページ_6.jpg</v>
      </c>
    </row>
    <row r="492" spans="1:2" x14ac:dyDescent="0.15">
      <c r="A492" t="s">
        <v>476</v>
      </c>
      <c r="B492" t="str">
        <f>HYPERLINK("か/かく　脚気　成書年未詳　灸穴集　著者未詳_ページ_7.jpg")</f>
        <v>か/かく　脚気　成書年未詳　灸穴集　著者未詳_ページ_7.jpg</v>
      </c>
    </row>
    <row r="493" spans="1:2" x14ac:dyDescent="0.15">
      <c r="A493" t="s">
        <v>477</v>
      </c>
      <c r="B493" t="str">
        <f>HYPERLINK("か/かく　脚気　成書年未詳　灸穴集　著者未詳_ページ_8.jpg")</f>
        <v>か/かく　脚気　成書年未詳　灸穴集　著者未詳_ページ_8.jpg</v>
      </c>
    </row>
    <row r="494" spans="1:2" x14ac:dyDescent="0.15">
      <c r="A494" t="s">
        <v>478</v>
      </c>
      <c r="B494" t="str">
        <f>HYPERLINK("か/かく　脚気　成書年未詳　経穴図解　著者未詳.jpg")</f>
        <v>か/かく　脚気　成書年未詳　経穴図解　著者未詳.jpg</v>
      </c>
    </row>
    <row r="495" spans="1:2" x14ac:dyDescent="0.15">
      <c r="A495" t="s">
        <v>479</v>
      </c>
      <c r="B495" t="str">
        <f>HYPERLINK("か/かく　脚気　玉機微義針灸証治　1537　鍼灸聚英　明・高武.jpg")</f>
        <v>か/かく　脚気　玉機微義針灸証治　1537　鍼灸聚英　明・高武.jpg</v>
      </c>
    </row>
    <row r="496" spans="1:2" x14ac:dyDescent="0.15">
      <c r="A496" t="s">
        <v>480</v>
      </c>
      <c r="B496" t="str">
        <f>HYPERLINK("か/かく　脚気灸法　千金方　外台　1912年（大正01）　鍼灸手引草　久木田七郎.jpg")</f>
        <v>か/かく　脚気灸法　千金方　外台　1912年（大正01）　鍼灸手引草　久木田七郎.jpg</v>
      </c>
    </row>
    <row r="497" spans="1:2" x14ac:dyDescent="0.15">
      <c r="A497" t="s">
        <v>481</v>
      </c>
      <c r="B497" t="str">
        <f>HYPERLINK("か/かく　脚気症　1912年（大正01）　鍼灸手引草　久木田七郎.jpg")</f>
        <v>か/かく　脚気症　1912年（大正01）　鍼灸手引草　久木田七郎.jpg</v>
      </c>
    </row>
    <row r="498" spans="1:2" x14ac:dyDescent="0.15">
      <c r="A498" t="s">
        <v>482</v>
      </c>
      <c r="B498" t="str">
        <f>HYPERLINK("か/かく　脚気転筋　1299　続添要穴集　惟宗時俊.jpg")</f>
        <v>か/かく　脚気転筋　1299　続添要穴集　惟宗時俊.jpg</v>
      </c>
    </row>
    <row r="499" spans="1:2" x14ac:dyDescent="0.15">
      <c r="A499" t="s">
        <v>483</v>
      </c>
      <c r="B499" t="str">
        <f>HYPERLINK("か/かく　脚気（かくけ）　あしのけ　脚気　1887（明治20）　鍼灸備要　青山道醇.jpg")</f>
        <v>か/かく　脚気（かくけ）　あしのけ　脚気　1887（明治20）　鍼灸備要　青山道醇.jpg</v>
      </c>
    </row>
    <row r="500" spans="1:2" x14ac:dyDescent="0.15">
      <c r="A500" t="s">
        <v>484</v>
      </c>
      <c r="B500" t="str">
        <f>HYPERLINK("か/かく　脚疾　1329　扁鵲神応鍼灸玉龍経　元・王国瑞.jpg")</f>
        <v>か/かく　脚疾　1329　扁鵲神応鍼灸玉龍経　元・王国瑞.jpg</v>
      </c>
    </row>
    <row r="501" spans="1:2" x14ac:dyDescent="0.15">
      <c r="A501" t="s">
        <v>485</v>
      </c>
      <c r="B501" t="str">
        <f>HYPERLINK("か/かく　脚痛　かつけ　1686　鍼灸要法指南　岩田利斎_ページ_1.jpg")</f>
        <v>か/かく　脚痛　かつけ　1686　鍼灸要法指南　岩田利斎_ページ_1.jpg</v>
      </c>
    </row>
    <row r="502" spans="1:2" x14ac:dyDescent="0.15">
      <c r="A502" t="s">
        <v>486</v>
      </c>
      <c r="B502" t="str">
        <f>HYPERLINK("か/かく　脚痛　かつけ　1686　鍼灸要法指南　岩田利斎_ページ_2.jpg")</f>
        <v>か/かく　脚痛　かつけ　1686　鍼灸要法指南　岩田利斎_ページ_2.jpg</v>
      </c>
    </row>
    <row r="503" spans="1:2" x14ac:dyDescent="0.15">
      <c r="A503" t="s">
        <v>487</v>
      </c>
      <c r="B503" t="str">
        <f>HYPERLINK("か/かく　脚細筋疼　1329　扁鵲神応鍼灸玉龍経　元・王国瑞.jpg")</f>
        <v>か/かく　脚細筋疼　1329　扁鵲神応鍼灸玉龍経　元・王国瑞.jpg</v>
      </c>
    </row>
    <row r="504" spans="1:2" x14ac:dyDescent="0.15">
      <c r="A504" t="s">
        <v>488</v>
      </c>
      <c r="B504" t="str">
        <f>HYPERLINK("か/かく　脚背痛　1329　扁鵲神応鍼灸玉龍経　元・王国瑞.jpg")</f>
        <v>か/かく　脚背痛　1329　扁鵲神応鍼灸玉龍経　元・王国瑞.jpg</v>
      </c>
    </row>
    <row r="505" spans="1:2" x14ac:dyDescent="0.15">
      <c r="A505" t="s">
        <v>489</v>
      </c>
      <c r="B505" t="str">
        <f>HYPERLINK("か/かく　脚腫　1220　鍼灸資生経　王執中.jpg")</f>
        <v>か/かく　脚腫　1220　鍼灸資生経　王執中.jpg</v>
      </c>
    </row>
    <row r="506" spans="1:2" x14ac:dyDescent="0.15">
      <c r="A506" t="s">
        <v>490</v>
      </c>
      <c r="B506" t="str">
        <f>HYPERLINK("か/かく　脚腫　1329　扁鵲神応鍼灸玉龍経　元・王国瑞_ページ_1.jpg")</f>
        <v>か/かく　脚腫　1329　扁鵲神応鍼灸玉龍経　元・王国瑞_ページ_1.jpg</v>
      </c>
    </row>
    <row r="507" spans="1:2" x14ac:dyDescent="0.15">
      <c r="A507" t="s">
        <v>491</v>
      </c>
      <c r="B507" t="str">
        <f>HYPERLINK("か/かく　脚腫　1329　扁鵲神応鍼灸玉龍経　元・王国瑞_ページ_2.jpg")</f>
        <v>か/かく　脚腫　1329　扁鵲神応鍼灸玉龍経　元・王国瑞_ページ_2.jpg</v>
      </c>
    </row>
    <row r="508" spans="1:2" x14ac:dyDescent="0.15">
      <c r="A508" t="s">
        <v>492</v>
      </c>
      <c r="B508" t="str">
        <f>HYPERLINK("か/かく　脚膝又は攣急不仁　1912年（大正01）　鍼灸手引草　久木田七郎_ページ_1.jpg")</f>
        <v>か/かく　脚膝又は攣急不仁　1912年（大正01）　鍼灸手引草　久木田七郎_ページ_1.jpg</v>
      </c>
    </row>
    <row r="509" spans="1:2" x14ac:dyDescent="0.15">
      <c r="A509" t="s">
        <v>493</v>
      </c>
      <c r="B509" t="str">
        <f>HYPERLINK("か/かく　脚膝又は攣急不仁　1912年（大正01）　鍼灸手引草　久木田七郎_ページ_2.jpg")</f>
        <v>か/かく　脚膝又は攣急不仁　1912年（大正01）　鍼灸手引草　久木田七郎_ページ_2.jpg</v>
      </c>
    </row>
    <row r="510" spans="1:2" x14ac:dyDescent="0.15">
      <c r="A510" t="s">
        <v>494</v>
      </c>
      <c r="B510" t="str">
        <f>HYPERLINK("か/かく　脚膝痛（攣急不収不仁）　1220　鍼灸資生経　王執中_ページ_1.jpg")</f>
        <v>か/かく　脚膝痛（攣急不収不仁）　1220　鍼灸資生経　王執中_ページ_1.jpg</v>
      </c>
    </row>
    <row r="511" spans="1:2" x14ac:dyDescent="0.15">
      <c r="A511" t="s">
        <v>495</v>
      </c>
      <c r="B511" t="str">
        <f>HYPERLINK("か/かく　脚膝痛（攣急不収不仁）　1220　鍼灸資生経　王執中_ページ_2.jpg")</f>
        <v>か/かく　脚膝痛（攣急不収不仁）　1220　鍼灸資生経　王執中_ページ_2.jpg</v>
      </c>
    </row>
    <row r="512" spans="1:2" x14ac:dyDescent="0.15">
      <c r="A512" t="s">
        <v>496</v>
      </c>
      <c r="B512" t="str">
        <f>HYPERLINK("か/かく　脚転筋　1224　医説　宋・張杲.jpg")</f>
        <v>か/かく　脚転筋　1224　医説　宋・張杲.jpg</v>
      </c>
    </row>
    <row r="513" spans="1:2" x14ac:dyDescent="0.15">
      <c r="A513" t="s">
        <v>5510</v>
      </c>
      <c r="B513" t="str">
        <f>HYPERLINK("か/かく　膈　1694　選鍼三要集　杉山和一.jpg")</f>
        <v>か/かく　膈　1694　選鍼三要集　杉山和一.jpg</v>
      </c>
    </row>
    <row r="514" spans="1:2" x14ac:dyDescent="0.15">
      <c r="A514" t="s">
        <v>497</v>
      </c>
      <c r="B514" t="str">
        <f>HYPERLINK("か/かく　膈の病　1607　扁鵲新流鍼書　越齋寿閑.jpg")</f>
        <v>か/かく　膈の病　1607　扁鵲新流鍼書　越齋寿閑.jpg</v>
      </c>
    </row>
    <row r="515" spans="1:2" x14ac:dyDescent="0.15">
      <c r="A515" t="s">
        <v>498</v>
      </c>
      <c r="B515" t="str">
        <f>HYPERLINK("か/かく　膈之針　1685　鍼道秘訣集　御園夢分斎_ページ_1.jpg")</f>
        <v>か/かく　膈之針　1685　鍼道秘訣集　御園夢分斎_ページ_1.jpg</v>
      </c>
    </row>
    <row r="516" spans="1:2" x14ac:dyDescent="0.15">
      <c r="A516" t="s">
        <v>499</v>
      </c>
      <c r="B516" t="str">
        <f>HYPERLINK("か/かく　膈之針　1685　鍼道秘訣集　御園夢分斎_ページ_2.jpg")</f>
        <v>か/かく　膈之針　1685　鍼道秘訣集　御園夢分斎_ページ_2.jpg</v>
      </c>
    </row>
    <row r="517" spans="1:2" x14ac:dyDescent="0.15">
      <c r="A517" t="s">
        <v>500</v>
      </c>
      <c r="B517" t="str">
        <f>HYPERLINK("か/かく　膈噎　1537　鍼灸聚英　明・高武.jpg")</f>
        <v>か/かく　膈噎　1537　鍼灸聚英　明・高武.jpg</v>
      </c>
    </row>
    <row r="518" spans="1:2" x14ac:dyDescent="0.15">
      <c r="A518" t="s">
        <v>501</v>
      </c>
      <c r="B518" t="str">
        <f>HYPERLINK("か/かく　膈噎　1698　隔噎　鍼灸抜粋大成　岡本一抱_ページ_1.jpg")</f>
        <v>か/かく　膈噎　1698　隔噎　鍼灸抜粋大成　岡本一抱_ページ_1.jpg</v>
      </c>
    </row>
    <row r="519" spans="1:2" x14ac:dyDescent="0.15">
      <c r="A519" t="s">
        <v>502</v>
      </c>
      <c r="B519" t="str">
        <f>HYPERLINK("か/かく　膈噎　1698　隔噎　鍼灸抜粋大成　岡本一抱_ページ_2.jpg")</f>
        <v>か/かく　膈噎　1698　隔噎　鍼灸抜粋大成　岡本一抱_ページ_2.jpg</v>
      </c>
    </row>
    <row r="520" spans="1:2" x14ac:dyDescent="0.15">
      <c r="A520" t="s">
        <v>503</v>
      </c>
      <c r="B520" t="str">
        <f>HYPERLINK("か/かく　膈噎　1758　灸ぜつ塩土伝　三宅意安.jpg")</f>
        <v>か/かく　膈噎　1758　灸ぜつ塩土伝　三宅意安.jpg</v>
      </c>
    </row>
    <row r="521" spans="1:2" x14ac:dyDescent="0.15">
      <c r="A521" t="s">
        <v>504</v>
      </c>
      <c r="B521" t="str">
        <f>HYPERLINK("か/かく　膈噎　1785　鍼書　本城義軒.jpg")</f>
        <v>か/かく　膈噎　1785　鍼書　本城義軒.jpg</v>
      </c>
    </row>
    <row r="522" spans="1:2" x14ac:dyDescent="0.15">
      <c r="A522" t="s">
        <v>505</v>
      </c>
      <c r="B522" t="str">
        <f>HYPERLINK("か/かく　膈噎　1800　岡田流鍼術書　岡田見龍_ページ_1.jpg")</f>
        <v>か/かく　膈噎　1800　岡田流鍼術書　岡田見龍_ページ_1.jpg</v>
      </c>
    </row>
    <row r="523" spans="1:2" x14ac:dyDescent="0.15">
      <c r="A523" t="s">
        <v>506</v>
      </c>
      <c r="B523" t="str">
        <f>HYPERLINK("か/かく　膈噎　1800　岡田流鍼術書　岡田見龍_ページ_2.jpg")</f>
        <v>か/かく　膈噎　1800　岡田流鍼術書　岡田見龍_ページ_2.jpg</v>
      </c>
    </row>
    <row r="524" spans="1:2" x14ac:dyDescent="0.15">
      <c r="A524" t="s">
        <v>507</v>
      </c>
      <c r="B524" t="str">
        <f>HYPERLINK("か/かく　膈噎　呑酸　反胃　1807　続名家灸選　平井庸信.jpg")</f>
        <v>か/かく　膈噎　呑酸　反胃　1807　続名家灸選　平井庸信.jpg</v>
      </c>
    </row>
    <row r="525" spans="1:2" x14ac:dyDescent="0.15">
      <c r="A525" t="s">
        <v>508</v>
      </c>
      <c r="B525" t="str">
        <f>HYPERLINK("か/かく　膈噎　成書年未詳　経穴図解　著者未詳.jpg")</f>
        <v>か/かく　膈噎　成書年未詳　経穴図解　著者未詳.jpg</v>
      </c>
    </row>
    <row r="526" spans="1:2" x14ac:dyDescent="0.15">
      <c r="A526" t="s">
        <v>509</v>
      </c>
      <c r="B526" t="str">
        <f>HYPERLINK("か/かく　膈噎　翻胃　1686　（かくいつ）（ほんい）　鍼灸要法指南　岩田利斎_ページ_1.jpg")</f>
        <v>か/かく　膈噎　翻胃　1686　（かくいつ）（ほんい）　鍼灸要法指南　岩田利斎_ページ_1.jpg</v>
      </c>
    </row>
    <row r="527" spans="1:2" x14ac:dyDescent="0.15">
      <c r="A527" t="s">
        <v>510</v>
      </c>
      <c r="B527" t="str">
        <f>HYPERLINK("か/かく　膈噎　翻胃　1686　（かくいつ）（ほんい）　鍼灸要法指南　岩田利斎_ページ_2.jpg")</f>
        <v>か/かく　膈噎　翻胃　1686　（かくいつ）（ほんい）　鍼灸要法指南　岩田利斎_ページ_2.jpg</v>
      </c>
    </row>
    <row r="528" spans="1:2" x14ac:dyDescent="0.15">
      <c r="A528" t="s">
        <v>511</v>
      </c>
      <c r="B528" t="str">
        <f>HYPERLINK("か/かく　膈噎　翻胃　1813　名家灸選　浅井惟亨_ページ_1.jpg")</f>
        <v>か/かく　膈噎　翻胃　1813　名家灸選　浅井惟亨_ページ_1.jpg</v>
      </c>
    </row>
    <row r="529" spans="1:2" x14ac:dyDescent="0.15">
      <c r="A529" t="s">
        <v>512</v>
      </c>
      <c r="B529" t="str">
        <f>HYPERLINK("か/かく　膈噎　翻胃　1813　名家灸選　浅井惟亨_ページ_2.jpg")</f>
        <v>か/かく　膈噎　翻胃　1813　名家灸選　浅井惟亨_ページ_2.jpg</v>
      </c>
    </row>
    <row r="530" spans="1:2" x14ac:dyDescent="0.15">
      <c r="A530" t="s">
        <v>513</v>
      </c>
      <c r="B530" t="str">
        <f>HYPERLINK("か/かく　膈噎　翻胃　かく　1718　鍼灸重宝記　本郷正豊.jpg")</f>
        <v>か/かく　膈噎　翻胃　かく　1718　鍼灸重宝記　本郷正豊.jpg</v>
      </c>
    </row>
    <row r="531" spans="1:2" x14ac:dyDescent="0.15">
      <c r="A531" t="s">
        <v>514</v>
      </c>
      <c r="B531" t="str">
        <f>HYPERLINK("か/かく　膈噎　翻胃　成書年未詳　灸穴集　著者未詳.jpg")</f>
        <v>か/かく　膈噎　翻胃　成書年未詳　灸穴集　著者未詳.jpg</v>
      </c>
    </row>
    <row r="532" spans="1:2" x14ac:dyDescent="0.15">
      <c r="A532" t="s">
        <v>515</v>
      </c>
      <c r="B532" t="str">
        <f>HYPERLINK("か/かく　膈噎（食道嵓）　1912年（大正01）　鍼灸手引草　久木田七郎.jpg")</f>
        <v>か/かく　膈噎（食道嵓）　1912年（大正01）　鍼灸手引草　久木田七郎.jpg</v>
      </c>
    </row>
    <row r="533" spans="1:2" x14ac:dyDescent="0.15">
      <c r="A533" t="s">
        <v>516</v>
      </c>
      <c r="B533" t="str">
        <f>HYPERLINK("か/かく　膈証（かくしよう）　かくのやまい　食道狭窄　1887（明治20）　鍼灸備要　青山道醇.jpg")</f>
        <v>か/かく　膈証（かくしよう）　かくのやまい　食道狭窄　1887（明治20）　鍼灸備要　青山道醇.jpg</v>
      </c>
    </row>
    <row r="534" spans="1:2" x14ac:dyDescent="0.15">
      <c r="A534" t="s">
        <v>517</v>
      </c>
      <c r="B534" t="str">
        <f>HYPERLINK("か/かく　角弓反張　1624　類経図翼　明・張介賓.jpg")</f>
        <v>か/かく　角弓反張　1624　類経図翼　明・張介賓.jpg</v>
      </c>
    </row>
    <row r="535" spans="1:2" x14ac:dyDescent="0.15">
      <c r="A535" t="s">
        <v>518</v>
      </c>
      <c r="B535" t="str">
        <f>HYPERLINK("か/かく　角弓反張　1765　鍼法弁惑　藤井秀孟.jpg")</f>
        <v>か/かく　角弓反張　1765　鍼法弁惑　藤井秀孟.jpg</v>
      </c>
    </row>
    <row r="536" spans="1:2" x14ac:dyDescent="0.15">
      <c r="A536" t="s">
        <v>519</v>
      </c>
      <c r="B536" t="str">
        <f>HYPERLINK("か/かく　角弓反張　1794　杉山流鍼術　島浦和田一_ページ_1.jpg")</f>
        <v>か/かく　角弓反張　1794　杉山流鍼術　島浦和田一_ページ_1.jpg</v>
      </c>
    </row>
    <row r="537" spans="1:2" x14ac:dyDescent="0.15">
      <c r="A537" t="s">
        <v>520</v>
      </c>
      <c r="B537" t="str">
        <f>HYPERLINK("か/かく　角弓反張　1794　杉山流鍼術　島浦和田一_ページ_2.jpg")</f>
        <v>か/かく　角弓反張　1794　杉山流鍼術　島浦和田一_ページ_2.jpg</v>
      </c>
    </row>
    <row r="538" spans="1:2" x14ac:dyDescent="0.15">
      <c r="A538" t="s">
        <v>521</v>
      </c>
      <c r="B538" t="str">
        <f>HYPERLINK("か/かく　角弓反張　1800　鍼灸備要　小坂元祐.jpg")</f>
        <v>か/かく　角弓反張　1800　鍼灸備要　小坂元祐.jpg</v>
      </c>
    </row>
    <row r="539" spans="1:2" x14ac:dyDescent="0.15">
      <c r="A539" t="s">
        <v>522</v>
      </c>
      <c r="B539" t="str">
        <f>HYPERLINK("か/かく　角弓反張（小児）　1669　鍼灸枢要　山本玄通_ページ_1.jpg")</f>
        <v>か/かく　角弓反張（小児）　1669　鍼灸枢要　山本玄通_ページ_1.jpg</v>
      </c>
    </row>
    <row r="540" spans="1:2" x14ac:dyDescent="0.15">
      <c r="A540" t="s">
        <v>523</v>
      </c>
      <c r="B540" t="str">
        <f>HYPERLINK("か/かく　角弓反張（小児）　1669　鍼灸枢要　山本玄通_ページ_2.jpg")</f>
        <v>か/かく　角弓反張（小児）　1669　鍼灸枢要　山本玄通_ページ_2.jpg</v>
      </c>
    </row>
    <row r="541" spans="1:2" x14ac:dyDescent="0.15">
      <c r="A541" t="s">
        <v>524</v>
      </c>
      <c r="B541" t="str">
        <f>HYPERLINK("か/かく　霍乱　0300　●気乱於腸胃発霍乱吐下　第四　鍼灸甲乙経　皇甫謐_ページ_1.jpg")</f>
        <v>か/かく　霍乱　0300　●気乱於腸胃発霍乱吐下　第四　鍼灸甲乙経　皇甫謐_ページ_1.jpg</v>
      </c>
    </row>
    <row r="542" spans="1:2" x14ac:dyDescent="0.15">
      <c r="A542" t="s">
        <v>525</v>
      </c>
      <c r="B542" t="str">
        <f>HYPERLINK("か/かく　霍乱　0300　●気乱於腸胃発霍乱吐下　第四　鍼灸甲乙経　皇甫謐_ページ_2.jpg")</f>
        <v>か/かく　霍乱　0300　●気乱於腸胃発霍乱吐下　第四　鍼灸甲乙経　皇甫謐_ページ_2.jpg</v>
      </c>
    </row>
    <row r="543" spans="1:2" x14ac:dyDescent="0.15">
      <c r="A543" t="s">
        <v>526</v>
      </c>
      <c r="B543" t="str">
        <f>HYPERLINK("か/かく　霍乱　0650　千金方　孫思ばく_ページ_1.jpg")</f>
        <v>か/かく　霍乱　0650　千金方　孫思ばく_ページ_1.jpg</v>
      </c>
    </row>
    <row r="544" spans="1:2" x14ac:dyDescent="0.15">
      <c r="A544" t="s">
        <v>527</v>
      </c>
      <c r="B544" t="str">
        <f>HYPERLINK("か/かく　霍乱　0650　千金方　孫思ばく_ページ_2.jpg")</f>
        <v>か/かく　霍乱　0650　千金方　孫思ばく_ページ_2.jpg</v>
      </c>
    </row>
    <row r="545" spans="1:2" x14ac:dyDescent="0.15">
      <c r="A545" t="s">
        <v>528</v>
      </c>
      <c r="B545" t="str">
        <f>HYPERLINK("か/かく　霍乱　1226　備急灸法　宋・聞人耆年.jpg")</f>
        <v>か/かく　霍乱　1226　備急灸法　宋・聞人耆年.jpg</v>
      </c>
    </row>
    <row r="546" spans="1:2" x14ac:dyDescent="0.15">
      <c r="A546" t="s">
        <v>529</v>
      </c>
      <c r="B546" t="str">
        <f>HYPERLINK("か/かく　霍乱　1425　神応経　明・陳会撰・劉瑾重校_ページ_1.jpg")</f>
        <v>か/かく　霍乱　1425　神応経　明・陳会撰・劉瑾重校_ページ_1.jpg</v>
      </c>
    </row>
    <row r="547" spans="1:2" x14ac:dyDescent="0.15">
      <c r="A547" t="s">
        <v>530</v>
      </c>
      <c r="B547" t="str">
        <f>HYPERLINK("か/かく　霍乱　1425　神応経　明・陳会撰・劉瑾重校_ページ_2.jpg")</f>
        <v>か/かく　霍乱　1425　神応経　明・陳会撰・劉瑾重校_ページ_2.jpg</v>
      </c>
    </row>
    <row r="548" spans="1:2" x14ac:dyDescent="0.15">
      <c r="A548" t="s">
        <v>531</v>
      </c>
      <c r="B548" t="str">
        <f>HYPERLINK("か/かく　霍乱　1537　鍼灸聚英　明・高武.jpg")</f>
        <v>か/かく　霍乱　1537　鍼灸聚英　明・高武.jpg</v>
      </c>
    </row>
    <row r="549" spans="1:2" x14ac:dyDescent="0.15">
      <c r="A549" t="s">
        <v>532</v>
      </c>
      <c r="B549" t="str">
        <f>HYPERLINK("か/かく　霍乱　1563　鍼灸集要　曲直瀬道三.jpg")</f>
        <v>か/かく　霍乱　1563　鍼灸集要　曲直瀬道三.jpg</v>
      </c>
    </row>
    <row r="550" spans="1:2" x14ac:dyDescent="0.15">
      <c r="A550" t="s">
        <v>533</v>
      </c>
      <c r="B550" t="str">
        <f>HYPERLINK("か/かく　霍乱　1574　兪穴参伍的法　秦宗巴.jpg")</f>
        <v>か/かく　霍乱　1574　兪穴参伍的法　秦宗巴.jpg</v>
      </c>
    </row>
    <row r="551" spans="1:2" x14ac:dyDescent="0.15">
      <c r="A551" t="s">
        <v>534</v>
      </c>
      <c r="B551" t="str">
        <f>HYPERLINK("か/かく　霍乱　1607　扁鵲新流鍼書　越齋寿閑.jpg")</f>
        <v>か/かく　霍乱　1607　扁鵲新流鍼書　越齋寿閑.jpg</v>
      </c>
    </row>
    <row r="552" spans="1:2" x14ac:dyDescent="0.15">
      <c r="A552" t="s">
        <v>535</v>
      </c>
      <c r="B552" t="str">
        <f>HYPERLINK("か/かく　霍乱　1613　古今集鍼法　長生庵了味か.jpg")</f>
        <v>か/かく　霍乱　1613　古今集鍼法　長生庵了味か.jpg</v>
      </c>
    </row>
    <row r="553" spans="1:2" x14ac:dyDescent="0.15">
      <c r="A553" t="s">
        <v>536</v>
      </c>
      <c r="B553" t="str">
        <f>HYPERLINK("か/かく　霍乱　1679　鍼法奇貨　渡辺東伯_ページ_1.jpg")</f>
        <v>か/かく　霍乱　1679　鍼法奇貨　渡辺東伯_ページ_1.jpg</v>
      </c>
    </row>
    <row r="554" spans="1:2" x14ac:dyDescent="0.15">
      <c r="A554" t="s">
        <v>537</v>
      </c>
      <c r="B554" t="str">
        <f>HYPERLINK("か/かく　霍乱　1679　鍼法奇貨　渡辺東伯_ページ_2.jpg")</f>
        <v>か/かく　霍乱　1679　鍼法奇貨　渡辺東伯_ページ_2.jpg</v>
      </c>
    </row>
    <row r="555" spans="1:2" x14ac:dyDescent="0.15">
      <c r="A555" t="s">
        <v>538</v>
      </c>
      <c r="B555" t="str">
        <f>HYPERLINK("か/かく　霍乱　1679　鍼法奇貨　渡辺東伯_ページ_3.jpg")</f>
        <v>か/かく　霍乱　1679　鍼法奇貨　渡辺東伯_ページ_3.jpg</v>
      </c>
    </row>
    <row r="556" spans="1:2" x14ac:dyDescent="0.15">
      <c r="A556" t="s">
        <v>539</v>
      </c>
      <c r="B556" t="str">
        <f>HYPERLINK("か/かく　霍乱　1679　鍼法奇貨　渡辺東伯_ページ_4.jpg")</f>
        <v>か/かく　霍乱　1679　鍼法奇貨　渡辺東伯_ページ_4.jpg</v>
      </c>
    </row>
    <row r="557" spans="1:2" x14ac:dyDescent="0.15">
      <c r="A557" t="s">
        <v>540</v>
      </c>
      <c r="B557" t="str">
        <f>HYPERLINK("か/かく　霍乱　1679　鍼法奇貨　渡辺東伯_ページ_5.jpg")</f>
        <v>か/かく　霍乱　1679　鍼法奇貨　渡辺東伯_ページ_5.jpg</v>
      </c>
    </row>
    <row r="558" spans="1:2" x14ac:dyDescent="0.15">
      <c r="A558" t="s">
        <v>541</v>
      </c>
      <c r="B558" t="str">
        <f>HYPERLINK("か/かく　霍乱　1680　鍼灸抜萃　著者未詳.jpg")</f>
        <v>か/かく　霍乱　1680　鍼灸抜萃　著者未詳.jpg</v>
      </c>
    </row>
    <row r="559" spans="1:2" x14ac:dyDescent="0.15">
      <c r="A559" t="s">
        <v>542</v>
      </c>
      <c r="B559" t="str">
        <f>HYPERLINK("か/かく　霍乱　1686　鍼灸要法指南　岩田利斎_ページ_1.jpg")</f>
        <v>か/かく　霍乱　1686　鍼灸要法指南　岩田利斎_ページ_1.jpg</v>
      </c>
    </row>
    <row r="560" spans="1:2" x14ac:dyDescent="0.15">
      <c r="A560" t="s">
        <v>543</v>
      </c>
      <c r="B560" t="str">
        <f>HYPERLINK("か/かく　霍乱　1686　鍼灸要法指南　岩田利斎_ページ_2.jpg")</f>
        <v>か/かく　霍乱　1686　鍼灸要法指南　岩田利斎_ページ_2.jpg</v>
      </c>
    </row>
    <row r="561" spans="1:2" x14ac:dyDescent="0.15">
      <c r="A561" t="s">
        <v>544</v>
      </c>
      <c r="B561" t="str">
        <f>HYPERLINK("か/かく　霍乱　1693　鍼灸要歌集　安井昌玄_ページ_1.jpg")</f>
        <v>か/かく　霍乱　1693　鍼灸要歌集　安井昌玄_ページ_1.jpg</v>
      </c>
    </row>
    <row r="562" spans="1:2" x14ac:dyDescent="0.15">
      <c r="A562" t="s">
        <v>545</v>
      </c>
      <c r="B562" t="str">
        <f>HYPERLINK("か/かく　霍乱　1693　鍼灸要歌集　安井昌玄_ページ_2.jpg")</f>
        <v>か/かく　霍乱　1693　鍼灸要歌集　安井昌玄_ページ_2.jpg</v>
      </c>
    </row>
    <row r="563" spans="1:2" x14ac:dyDescent="0.15">
      <c r="A563" t="s">
        <v>546</v>
      </c>
      <c r="B563" t="str">
        <f>HYPERLINK("か/かく　霍乱　1693　鍼灸要歌集　安井昌玄_ページ_3.jpg")</f>
        <v>か/かく　霍乱　1693　鍼灸要歌集　安井昌玄_ページ_3.jpg</v>
      </c>
    </row>
    <row r="564" spans="1:2" x14ac:dyDescent="0.15">
      <c r="A564" t="s">
        <v>547</v>
      </c>
      <c r="B564" t="str">
        <f>HYPERLINK("か/かく　霍乱　1694　療治之大概集　杉山和一.jpg")</f>
        <v>か/かく　霍乱　1694　療治之大概集　杉山和一.jpg</v>
      </c>
    </row>
    <row r="565" spans="1:2" x14ac:dyDescent="0.15">
      <c r="A565" t="s">
        <v>548</v>
      </c>
      <c r="B565" t="str">
        <f>HYPERLINK("か/かく　霍乱　1694　選鍼三要集　杉山和一.jpg")</f>
        <v>か/かく　霍乱　1694　選鍼三要集　杉山和一.jpg</v>
      </c>
    </row>
    <row r="566" spans="1:2" x14ac:dyDescent="0.15">
      <c r="A566" t="s">
        <v>549</v>
      </c>
      <c r="B566" t="str">
        <f>HYPERLINK("か/かく　霍乱　1694　鍼灸そかい集　高津敬節.jpg")</f>
        <v>か/かく　霍乱　1694　鍼灸そかい集　高津敬節.jpg</v>
      </c>
    </row>
    <row r="567" spans="1:2" x14ac:dyDescent="0.15">
      <c r="A567" t="s">
        <v>550</v>
      </c>
      <c r="B567" t="str">
        <f>HYPERLINK("か/かく　霍乱　1696　広益鍼灸抜萃　著者未詳_ページ_1.jpg")</f>
        <v>か/かく　霍乱　1696　広益鍼灸抜萃　著者未詳_ページ_1.jpg</v>
      </c>
    </row>
    <row r="568" spans="1:2" x14ac:dyDescent="0.15">
      <c r="A568" t="s">
        <v>551</v>
      </c>
      <c r="B568" t="str">
        <f>HYPERLINK("か/かく　霍乱　1696　広益鍼灸抜萃　著者未詳_ページ_2.jpg")</f>
        <v>か/かく　霍乱　1696　広益鍼灸抜萃　著者未詳_ページ_2.jpg</v>
      </c>
    </row>
    <row r="569" spans="1:2" x14ac:dyDescent="0.15">
      <c r="A569" t="s">
        <v>552</v>
      </c>
      <c r="B569" t="str">
        <f>HYPERLINK("か/かく　霍乱　1696　広益鍼灸抜萃　著者未詳_ページ_3.jpg")</f>
        <v>か/かく　霍乱　1696　広益鍼灸抜萃　著者未詳_ページ_3.jpg</v>
      </c>
    </row>
    <row r="570" spans="1:2" x14ac:dyDescent="0.15">
      <c r="A570" t="s">
        <v>553</v>
      </c>
      <c r="B570" t="str">
        <f>HYPERLINK("か/かく　霍乱　1698　鍼灸抜粋大成　岡本一抱.jpg")</f>
        <v>か/かく　霍乱　1698　鍼灸抜粋大成　岡本一抱.jpg</v>
      </c>
    </row>
    <row r="571" spans="1:2" x14ac:dyDescent="0.15">
      <c r="A571" t="s">
        <v>554</v>
      </c>
      <c r="B571" t="str">
        <f>HYPERLINK("か/かく　霍乱　1718　鍼灸重宝記　本郷正豊_ページ_1.jpg")</f>
        <v>か/かく　霍乱　1718　鍼灸重宝記　本郷正豊_ページ_1.jpg</v>
      </c>
    </row>
    <row r="572" spans="1:2" x14ac:dyDescent="0.15">
      <c r="A572" t="s">
        <v>555</v>
      </c>
      <c r="B572" t="str">
        <f>HYPERLINK("か/かく　霍乱　1718　鍼灸重宝記　本郷正豊_ページ_2.jpg")</f>
        <v>か/かく　霍乱　1718　鍼灸重宝記　本郷正豊_ページ_2.jpg</v>
      </c>
    </row>
    <row r="573" spans="1:2" x14ac:dyDescent="0.15">
      <c r="A573" t="s">
        <v>556</v>
      </c>
      <c r="B573" t="str">
        <f>HYPERLINK("か/かく　霍乱　1767　鍼灸則　菅沼周桂.jpg")</f>
        <v>か/かく　霍乱　1767　鍼灸則　菅沼周桂.jpg</v>
      </c>
    </row>
    <row r="574" spans="1:2" x14ac:dyDescent="0.15">
      <c r="A574" t="s">
        <v>557</v>
      </c>
      <c r="B574" t="str">
        <f>HYPERLINK("か/かく　霍乱　1773　鍼灸手引草　大簡室主人_ページ_1.jpg")</f>
        <v>か/かく　霍乱　1773　鍼灸手引草　大簡室主人_ページ_1.jpg</v>
      </c>
    </row>
    <row r="575" spans="1:2" x14ac:dyDescent="0.15">
      <c r="A575" t="s">
        <v>558</v>
      </c>
      <c r="B575" t="str">
        <f>HYPERLINK("か/かく　霍乱　1773　鍼灸手引草　大簡室主人_ページ_2.jpg")</f>
        <v>か/かく　霍乱　1773　鍼灸手引草　大簡室主人_ページ_2.jpg</v>
      </c>
    </row>
    <row r="576" spans="1:2" x14ac:dyDescent="0.15">
      <c r="A576" t="s">
        <v>559</v>
      </c>
      <c r="B576" t="str">
        <f>HYPERLINK("か/かく　霍乱　1780　鍼灸極秘伝　木村太沖.jpg")</f>
        <v>か/かく　霍乱　1780　鍼灸極秘伝　木村太沖.jpg</v>
      </c>
    </row>
    <row r="577" spans="1:2" x14ac:dyDescent="0.15">
      <c r="A577" t="s">
        <v>560</v>
      </c>
      <c r="B577" t="str">
        <f>HYPERLINK("か/かく　霍乱　1780吐を取りて以て先と為す　かくらんは、はやく吐きてよき事　鍼灸極秘伝　木村太沖.jpg")</f>
        <v>か/かく　霍乱　1780吐を取りて以て先と為す　かくらんは、はやく吐きてよき事　鍼灸極秘伝　木村太沖.jpg</v>
      </c>
    </row>
    <row r="578" spans="1:2" x14ac:dyDescent="0.15">
      <c r="A578" t="s">
        <v>561</v>
      </c>
      <c r="B578" t="str">
        <f>HYPERLINK("か/かく　霍乱　1785　鍼書　本城義軒.jpg")</f>
        <v>か/かく　霍乱　1785　鍼書　本城義軒.jpg</v>
      </c>
    </row>
    <row r="579" spans="1:2" x14ac:dyDescent="0.15">
      <c r="A579" t="s">
        <v>562</v>
      </c>
      <c r="B579" t="str">
        <f>HYPERLINK("か/かく　霍乱　1792　鍼法要集　源長起_ページ_1.jpg")</f>
        <v>か/かく　霍乱　1792　鍼法要集　源長起_ページ_1.jpg</v>
      </c>
    </row>
    <row r="580" spans="1:2" x14ac:dyDescent="0.15">
      <c r="A580" t="s">
        <v>563</v>
      </c>
      <c r="B580" t="str">
        <f>HYPERLINK("か/かく　霍乱　1792　鍼法要集　源長起_ページ_2.jpg")</f>
        <v>か/かく　霍乱　1792　鍼法要集　源長起_ページ_2.jpg</v>
      </c>
    </row>
    <row r="581" spans="1:2" x14ac:dyDescent="0.15">
      <c r="A581" t="s">
        <v>564</v>
      </c>
      <c r="B581" t="str">
        <f>HYPERLINK("か/かく　霍乱　1794　杉山流鍼術　島浦和田一_ページ_1.jpg")</f>
        <v>か/かく　霍乱　1794　杉山流鍼術　島浦和田一_ページ_1.jpg</v>
      </c>
    </row>
    <row r="582" spans="1:2" x14ac:dyDescent="0.15">
      <c r="A582" t="s">
        <v>565</v>
      </c>
      <c r="B582" t="str">
        <f>HYPERLINK("か/かく　霍乱　1794　杉山流鍼術　島浦和田一_ページ_2.jpg")</f>
        <v>か/かく　霍乱　1794　杉山流鍼術　島浦和田一_ページ_2.jpg</v>
      </c>
    </row>
    <row r="583" spans="1:2" x14ac:dyDescent="0.15">
      <c r="A583" t="s">
        <v>566</v>
      </c>
      <c r="B583" t="str">
        <f>HYPERLINK("か/かく　霍乱　1807　続名家灸選　平井庸信_ページ_1.jpg")</f>
        <v>か/かく　霍乱　1807　続名家灸選　平井庸信_ページ_1.jpg</v>
      </c>
    </row>
    <row r="584" spans="1:2" x14ac:dyDescent="0.15">
      <c r="A584" t="s">
        <v>567</v>
      </c>
      <c r="B584" t="str">
        <f>HYPERLINK("か/かく　霍乱　1807　続名家灸選　平井庸信_ページ_2.jpg")</f>
        <v>か/かく　霍乱　1807　続名家灸選　平井庸信_ページ_2.jpg</v>
      </c>
    </row>
    <row r="585" spans="1:2" x14ac:dyDescent="0.15">
      <c r="A585" t="s">
        <v>568</v>
      </c>
      <c r="B585" t="str">
        <f>HYPERLINK("か/かく　霍乱　1813　名家灸選　浅井惟亨_ページ_1.jpg")</f>
        <v>か/かく　霍乱　1813　名家灸選　浅井惟亨_ページ_1.jpg</v>
      </c>
    </row>
    <row r="586" spans="1:2" x14ac:dyDescent="0.15">
      <c r="A586" t="s">
        <v>569</v>
      </c>
      <c r="B586" t="str">
        <f>HYPERLINK("か/かく　霍乱　1813　名家灸選　浅井惟亨_ページ_2.jpg")</f>
        <v>か/かく　霍乱　1813　名家灸選　浅井惟亨_ページ_2.jpg</v>
      </c>
    </row>
    <row r="587" spans="1:2" x14ac:dyDescent="0.15">
      <c r="A587" t="s">
        <v>570</v>
      </c>
      <c r="B587" t="str">
        <f>HYPERLINK("か/かく　霍乱　1813　名家灸選三編　平井庸信_ページ_1.jpg")</f>
        <v>か/かく　霍乱　1813　名家灸選三編　平井庸信_ページ_1.jpg</v>
      </c>
    </row>
    <row r="588" spans="1:2" x14ac:dyDescent="0.15">
      <c r="A588" t="s">
        <v>571</v>
      </c>
      <c r="B588" t="str">
        <f>HYPERLINK("か/かく　霍乱　1813　名家灸選三編　平井庸信_ページ_2.jpg")</f>
        <v>か/かく　霍乱　1813　名家灸選三編　平井庸信_ページ_2.jpg</v>
      </c>
    </row>
    <row r="589" spans="1:2" x14ac:dyDescent="0.15">
      <c r="A589" t="s">
        <v>572</v>
      </c>
      <c r="B589" t="str">
        <f>HYPERLINK("か/かく　霍乱　小児　1694　選鍼三要集　杉山和一.jpg")</f>
        <v>か/かく　霍乱　小児　1694　選鍼三要集　杉山和一.jpg</v>
      </c>
    </row>
    <row r="590" spans="1:2" x14ac:dyDescent="0.15">
      <c r="A590" t="s">
        <v>573</v>
      </c>
      <c r="B590" t="str">
        <f>HYPERLINK("か/かく　霍乱　成書年未詳　灸穴集　著者未詳_ページ_1.jpg")</f>
        <v>か/かく　霍乱　成書年未詳　灸穴集　著者未詳_ページ_1.jpg</v>
      </c>
    </row>
    <row r="591" spans="1:2" x14ac:dyDescent="0.15">
      <c r="A591" t="s">
        <v>574</v>
      </c>
      <c r="B591" t="str">
        <f>HYPERLINK("か/かく　霍乱　成書年未詳　灸穴集　著者未詳_ページ_2.jpg")</f>
        <v>か/かく　霍乱　成書年未詳　灸穴集　著者未詳_ページ_2.jpg</v>
      </c>
    </row>
    <row r="592" spans="1:2" x14ac:dyDescent="0.15">
      <c r="A592" t="s">
        <v>575</v>
      </c>
      <c r="B592" t="str">
        <f>HYPERLINK("か/かく　霍乱　成書年未詳　灸穴集　著者未詳_ページ_3.jpg")</f>
        <v>か/かく　霍乱　成書年未詳　灸穴集　著者未詳_ページ_3.jpg</v>
      </c>
    </row>
    <row r="593" spans="1:2" x14ac:dyDescent="0.15">
      <c r="A593" t="s">
        <v>576</v>
      </c>
      <c r="B593" t="str">
        <f>HYPERLINK("か/かく　霍乱　成書年未詳　灸穴集　著者未詳_ページ_4.jpg")</f>
        <v>か/かく　霍乱　成書年未詳　灸穴集　著者未詳_ページ_4.jpg</v>
      </c>
    </row>
    <row r="594" spans="1:2" x14ac:dyDescent="0.15">
      <c r="A594" t="s">
        <v>577</v>
      </c>
      <c r="B594" t="str">
        <f>HYPERLINK("か/かく　霍乱　成書年未詳　経穴図解　著者未詳.jpg")</f>
        <v>か/かく　霍乱　成書年未詳　経穴図解　著者未詳.jpg</v>
      </c>
    </row>
    <row r="595" spans="1:2" x14ac:dyDescent="0.15">
      <c r="A595" t="s">
        <v>578</v>
      </c>
      <c r="B595" t="str">
        <f>HYPERLINK("か/かく　霍乱吐瀉する者　かくらん、はきたり、下したりする人　1780　鍼灸極秘伝　木村太沖.jpg")</f>
        <v>か/かく　霍乱吐瀉する者　かくらん、はきたり、下したりする人　1780　鍼灸極秘伝　木村太沖.jpg</v>
      </c>
    </row>
    <row r="596" spans="1:2" x14ac:dyDescent="0.15">
      <c r="A596" t="s">
        <v>579</v>
      </c>
      <c r="B596" t="str">
        <f>HYPERLINK("か/かく　霍乱吐瀉（余見転筋）　1220　鍼灸資生経　王執中_ページ_1.jpg")</f>
        <v>か/かく　霍乱吐瀉（余見転筋）　1220　鍼灸資生経　王執中_ページ_1.jpg</v>
      </c>
    </row>
    <row r="597" spans="1:2" x14ac:dyDescent="0.15">
      <c r="A597" t="s">
        <v>580</v>
      </c>
      <c r="B597" t="str">
        <f>HYPERLINK("か/かく　霍乱吐瀉（余見転筋）　1220　鍼灸資生経　王執中_ページ_2.jpg")</f>
        <v>か/かく　霍乱吐瀉（余見転筋）　1220　鍼灸資生経　王執中_ページ_2.jpg</v>
      </c>
    </row>
    <row r="598" spans="1:2" x14ac:dyDescent="0.15">
      <c r="A598" t="s">
        <v>581</v>
      </c>
      <c r="B598" t="str">
        <f>HYPERLINK("か/かく　霍乱嘔吐する者　かくらん、はくことしげく、からえづきある人　1780　鍼灸極秘伝　木村太沖.jpg")</f>
        <v>か/かく　霍乱嘔吐する者　かくらん、はくことしげく、からえづきある人　1780　鍼灸極秘伝　木村太沖.jpg</v>
      </c>
    </row>
    <row r="599" spans="1:2" x14ac:dyDescent="0.15">
      <c r="A599" t="s">
        <v>582</v>
      </c>
      <c r="B599" t="str">
        <f>HYPERLINK("か/かく　霍乱腹痛妙灸　1594　経脈方寸秘書　曲直瀬道三.jpg")</f>
        <v>か/かく　霍乱腹痛妙灸　1594　経脈方寸秘書　曲直瀬道三.jpg</v>
      </c>
    </row>
    <row r="600" spans="1:2" x14ac:dyDescent="0.15">
      <c r="A600" t="s">
        <v>583</v>
      </c>
      <c r="B600" t="str">
        <f>HYPERLINK("か/かく　霍乱転筋　1220　鍼灸資生経　王執中_ページ_1.jpg")</f>
        <v>か/かく　霍乱転筋　1220　鍼灸資生経　王執中_ページ_1.jpg</v>
      </c>
    </row>
    <row r="601" spans="1:2" x14ac:dyDescent="0.15">
      <c r="A601" t="s">
        <v>584</v>
      </c>
      <c r="B601" t="str">
        <f>HYPERLINK("か/かく　霍乱転筋　1220　鍼灸資生経　王執中_ページ_2.jpg")</f>
        <v>か/かく　霍乱転筋　1220　鍼灸資生経　王執中_ページ_2.jpg</v>
      </c>
    </row>
    <row r="602" spans="1:2" x14ac:dyDescent="0.15">
      <c r="A602" t="s">
        <v>585</v>
      </c>
      <c r="B602" t="str">
        <f>HYPERLINK("か/かく　霍乱転筋　1226　備急灸法　宋・聞人耆年.jpg")</f>
        <v>か/かく　霍乱転筋　1226　備急灸法　宋・聞人耆年.jpg</v>
      </c>
    </row>
    <row r="603" spans="1:2" x14ac:dyDescent="0.15">
      <c r="A603" t="s">
        <v>586</v>
      </c>
      <c r="B603" t="str">
        <f>HYPERLINK("か/かく　霍乱（くわくらん）　しりより口よりこくやまい　特発虎列剌（とくはつコレラ）　1887（明治20）　鍼灸備要　青山道醇.jpg")</f>
        <v>か/かく　霍乱（くわくらん）　しりより口よりこくやまい　特発虎列剌（とくはつコレラ）　1887（明治20）　鍼灸備要　青山道醇.jpg</v>
      </c>
    </row>
    <row r="604" spans="1:2" x14ac:dyDescent="0.15">
      <c r="A604" t="s">
        <v>587</v>
      </c>
      <c r="B604" t="str">
        <f>HYPERLINK("か/かく　霍乱（＝癨乱）　1669　鍼灸枢要　山本玄通_ページ_1.jpg")</f>
        <v>か/かく　霍乱（＝癨乱）　1669　鍼灸枢要　山本玄通_ページ_1.jpg</v>
      </c>
    </row>
    <row r="605" spans="1:2" x14ac:dyDescent="0.15">
      <c r="A605" t="s">
        <v>588</v>
      </c>
      <c r="B605" t="str">
        <f>HYPERLINK("か/かく　霍乱（＝癨乱）　1669　鍼灸枢要　山本玄通_ページ_2.jpg")</f>
        <v>か/かく　霍乱（＝癨乱）　1669　鍼灸枢要　山本玄通_ページ_2.jpg</v>
      </c>
    </row>
    <row r="606" spans="1:2" x14ac:dyDescent="0.15">
      <c r="A606" t="s">
        <v>589</v>
      </c>
      <c r="B606" t="str">
        <f>HYPERLINK("か/かく　霍乱（＝癨乱）　1669　鍼灸枢要　山本玄通_ページ_3.jpg")</f>
        <v>か/かく　霍乱（＝癨乱）　1669　鍼灸枢要　山本玄通_ページ_3.jpg</v>
      </c>
    </row>
    <row r="607" spans="1:2" x14ac:dyDescent="0.15">
      <c r="A607" t="s">
        <v>590</v>
      </c>
      <c r="B607" t="str">
        <f>HYPERLINK("か/かく　霍乱（＝癨乱）　1669　鍼灸枢要　山本玄通_ページ_4.jpg")</f>
        <v>か/かく　霍乱（＝癨乱）　1669　鍼灸枢要　山本玄通_ページ_4.jpg</v>
      </c>
    </row>
    <row r="608" spans="1:2" x14ac:dyDescent="0.15">
      <c r="A608" t="s">
        <v>591</v>
      </c>
      <c r="B608" t="str">
        <f>HYPERLINK("か/かく　霍乱（＝癨乱）　1669　鍼灸枢要　山本玄通_ページ_5.jpg")</f>
        <v>か/かく　霍乱（＝癨乱）　1669　鍼灸枢要　山本玄通_ページ_5.jpg</v>
      </c>
    </row>
    <row r="609" spans="1:2" x14ac:dyDescent="0.15">
      <c r="A609" t="s">
        <v>592</v>
      </c>
      <c r="B609" t="str">
        <f>HYPERLINK("か/かく　霍乱（＝癨乱）アゲクダシノヤマヒ　1800　鍼灸備要　小坂元祐_ページ_1.jpg")</f>
        <v>か/かく　霍乱（＝癨乱）アゲクダシノヤマヒ　1800　鍼灸備要　小坂元祐_ページ_1.jpg</v>
      </c>
    </row>
    <row r="610" spans="1:2" x14ac:dyDescent="0.15">
      <c r="A610" t="s">
        <v>593</v>
      </c>
      <c r="B610" t="str">
        <f>HYPERLINK("か/かく　霍乱（＝癨乱）アゲクダシノヤマヒ　1800　鍼灸備要　小坂元祐_ページ_2.jpg")</f>
        <v>か/かく　霍乱（＝癨乱）アゲクダシノヤマヒ　1800　鍼灸備要　小坂元祐_ページ_2.jpg</v>
      </c>
    </row>
    <row r="611" spans="1:2" x14ac:dyDescent="0.15">
      <c r="A611" t="s">
        <v>594</v>
      </c>
      <c r="B611" t="str">
        <f>HYPERLINK("か/かく　霍乱（＝癨乱）アゲクダシノヤマヒ　1800　鍼灸備要　小坂元祐_ページ_3.jpg")</f>
        <v>か/かく　霍乱（＝癨乱）アゲクダシノヤマヒ　1800　鍼灸備要　小坂元祐_ページ_3.jpg</v>
      </c>
    </row>
    <row r="612" spans="1:2" x14ac:dyDescent="0.15">
      <c r="A612" t="s">
        <v>595</v>
      </c>
      <c r="B612" t="str">
        <f>HYPERLINK("か/かく　鬲痛　1220　鍼灸資生経　王執中_ページ_1.jpg")</f>
        <v>か/かく　鬲痛　1220　鍼灸資生経　王執中_ページ_1.jpg</v>
      </c>
    </row>
    <row r="613" spans="1:2" x14ac:dyDescent="0.15">
      <c r="A613" t="s">
        <v>596</v>
      </c>
      <c r="B613" t="str">
        <f>HYPERLINK("か/かく　鬲痛　1220　鍼灸資生経　王執中_ページ_2.jpg")</f>
        <v>か/かく　鬲痛　1220　鍼灸資生経　王執中_ページ_2.jpg</v>
      </c>
    </row>
    <row r="614" spans="1:2" x14ac:dyDescent="0.15">
      <c r="A614" t="s">
        <v>597</v>
      </c>
      <c r="B614" t="str">
        <f>HYPERLINK("か/かく　鶴膝風　1800　岡田流鍼術書　岡田見龍_ページ_1.jpg")</f>
        <v>か/かく　鶴膝風　1800　岡田流鍼術書　岡田見龍_ページ_1.jpg</v>
      </c>
    </row>
    <row r="615" spans="1:2" x14ac:dyDescent="0.15">
      <c r="A615" t="s">
        <v>598</v>
      </c>
      <c r="B615" t="str">
        <f>HYPERLINK("か/かく　鶴膝風　1800　岡田流鍼術書　岡田見龍_ページ_2.jpg")</f>
        <v>か/かく　鶴膝風　1800　岡田流鍼術書　岡田見龍_ページ_2.jpg</v>
      </c>
    </row>
    <row r="616" spans="1:2" x14ac:dyDescent="0.15">
      <c r="A616" t="s">
        <v>5492</v>
      </c>
      <c r="B616" s="2" t="str">
        <f>HYPERLINK("け/けん　肩痛　1767　鍼灸則　菅沼周桂.jpg")</f>
        <v>け/けん　肩痛　1767　鍼灸則　菅沼周桂.jpg</v>
      </c>
    </row>
    <row r="617" spans="1:2" x14ac:dyDescent="0.15">
      <c r="A617" t="s">
        <v>599</v>
      </c>
      <c r="B617" t="str">
        <f>HYPERLINK("か/かつ　活針　1800　岡田流鍼術書　岡田見龍_ページ_1.jpg")</f>
        <v>か/かつ　活針　1800　岡田流鍼術書　岡田見龍_ページ_1.jpg</v>
      </c>
    </row>
    <row r="618" spans="1:2" x14ac:dyDescent="0.15">
      <c r="A618" t="s">
        <v>600</v>
      </c>
      <c r="B618" t="str">
        <f>HYPERLINK("か/かつ　活針　1800　岡田流鍼術書　岡田見龍_ページ_2.jpg")</f>
        <v>か/かつ　活針　1800　岡田流鍼術書　岡田見龍_ページ_2.jpg</v>
      </c>
    </row>
    <row r="619" spans="1:2" x14ac:dyDescent="0.15">
      <c r="A619" t="s">
        <v>601</v>
      </c>
      <c r="B619" t="str">
        <f>HYPERLINK("か/かつ　蝎螫不可忍者　1315　鍼経摘英集　元・杜思敬「済生抜粋方」.jpg")</f>
        <v>か/かつ　蝎螫不可忍者　1315　鍼経摘英集　元・杜思敬「済生抜粋方」.jpg</v>
      </c>
    </row>
    <row r="620" spans="1:2" x14ac:dyDescent="0.15">
      <c r="A620" t="s">
        <v>602</v>
      </c>
      <c r="B620" t="str">
        <f>HYPERLINK("か/かん　かん痛　1794　杉山流鍼術　島浦和田一.jpg")</f>
        <v>か/かん　かん痛　1794　杉山流鍼術　島浦和田一.jpg</v>
      </c>
    </row>
    <row r="621" spans="1:2" x14ac:dyDescent="0.15">
      <c r="A621" t="s">
        <v>603</v>
      </c>
      <c r="B621" t="str">
        <f>HYPERLINK("か/かん　かん痛　1794　杉山流鍼術　島浦和田一_ページ_1.jpg")</f>
        <v>か/かん　かん痛　1794　杉山流鍼術　島浦和田一_ページ_1.jpg</v>
      </c>
    </row>
    <row r="622" spans="1:2" x14ac:dyDescent="0.15">
      <c r="A622" t="s">
        <v>604</v>
      </c>
      <c r="B622" t="str">
        <f>HYPERLINK("か/かん　かん痛　1794　杉山流鍼術　島浦和田一_ページ_2.jpg")</f>
        <v>か/かん　かん痛　1794　杉山流鍼術　島浦和田一_ページ_2.jpg</v>
      </c>
    </row>
    <row r="623" spans="1:2" x14ac:dyDescent="0.15">
      <c r="A623" t="s">
        <v>605</v>
      </c>
      <c r="B623" t="str">
        <f>HYPERLINK("か/かん　乾嘔　1220　鍼灸資生経　王執中.jpg")</f>
        <v>か/かん　乾嘔　1220　鍼灸資生経　王執中.jpg</v>
      </c>
    </row>
    <row r="624" spans="1:2" x14ac:dyDescent="0.15">
      <c r="A624" t="s">
        <v>606</v>
      </c>
      <c r="B624" t="str">
        <f>HYPERLINK("か/かん　乾嘔（かんのを）　からへづき　乾嘔、又、仮嘔（かをを）　1887（明治20）　鍼灸備要　青山道醇.jpg")</f>
        <v>か/かん　乾嘔（かんのを）　からへづき　乾嘔、又、仮嘔（かをを）　1887（明治20）　鍼灸備要　青山道醇.jpg</v>
      </c>
    </row>
    <row r="625" spans="1:2" x14ac:dyDescent="0.15">
      <c r="A625" t="s">
        <v>607</v>
      </c>
      <c r="B625" t="str">
        <f>HYPERLINK("か/かん　乾霍乱　1694　選鍼三要集　杉山和一.jpg")</f>
        <v>か/かん　乾霍乱　1694　選鍼三要集　杉山和一.jpg</v>
      </c>
    </row>
    <row r="626" spans="1:2" x14ac:dyDescent="0.15">
      <c r="A626" t="s">
        <v>608</v>
      </c>
      <c r="B626" t="str">
        <f>HYPERLINK("か/かん　乾霍乱、吐瀉なくして唯（た）だ悶絶する者　かくらん、吐も瀉もなく、もんぜつする人　1780　鍼灸極秘伝　木村太沖.jpg")</f>
        <v>か/かん　乾霍乱、吐瀉なくして唯（た）だ悶絶する者　かくらん、吐も瀉もなく、もんぜつする人　1780　鍼灸極秘伝　木村太沖.jpg</v>
      </c>
    </row>
    <row r="627" spans="1:2" x14ac:dyDescent="0.15">
      <c r="A627" t="s">
        <v>609</v>
      </c>
      <c r="B627" t="str">
        <f>HYPERLINK("か/かん　五疳　1686　鍼灸要法指南　岩田利斎_ページ_1.jpg")</f>
        <v>か/かん　五疳　1686　鍼灸要法指南　岩田利斎_ページ_1.jpg</v>
      </c>
    </row>
    <row r="628" spans="1:2" x14ac:dyDescent="0.15">
      <c r="A628" t="s">
        <v>610</v>
      </c>
      <c r="B628" t="str">
        <f>HYPERLINK("か/かん　五疳　1686　鍼灸要法指南　岩田利斎_ページ_2.jpg")</f>
        <v>か/かん　五疳　1686　鍼灸要法指南　岩田利斎_ページ_2.jpg</v>
      </c>
    </row>
    <row r="629" spans="1:2" x14ac:dyDescent="0.15">
      <c r="A629" t="s">
        <v>611</v>
      </c>
      <c r="B629" t="str">
        <f>HYPERLINK("か/かん　五疳　1693　鍼灸要歌集　安井昌玄_ページ_1.jpg")</f>
        <v>か/かん　五疳　1693　鍼灸要歌集　安井昌玄_ページ_1.jpg</v>
      </c>
    </row>
    <row r="630" spans="1:2" x14ac:dyDescent="0.15">
      <c r="A630" t="s">
        <v>612</v>
      </c>
      <c r="B630" t="str">
        <f>HYPERLINK("か/かん　五疳　1693　鍼灸要歌集　安井昌玄_ページ_2.jpg")</f>
        <v>か/かん　五疳　1693　鍼灸要歌集　安井昌玄_ページ_2.jpg</v>
      </c>
    </row>
    <row r="631" spans="1:2" x14ac:dyDescent="0.15">
      <c r="A631" t="s">
        <v>613</v>
      </c>
      <c r="B631" t="str">
        <f>HYPERLINK("か/かん　五疳　1693　鍼灸要歌集　安井昌玄_ページ_3.jpg")</f>
        <v>か/かん　五疳　1693　鍼灸要歌集　安井昌玄_ページ_3.jpg</v>
      </c>
    </row>
    <row r="632" spans="1:2" x14ac:dyDescent="0.15">
      <c r="A632" t="s">
        <v>614</v>
      </c>
      <c r="B632" t="str">
        <f>HYPERLINK("か/かん　五疳　1693　鍼灸要歌集　安井昌玄_ページ_4.jpg")</f>
        <v>か/かん　五疳　1693　鍼灸要歌集　安井昌玄_ページ_4.jpg</v>
      </c>
    </row>
    <row r="633" spans="1:2" x14ac:dyDescent="0.15">
      <c r="A633" t="s">
        <v>615</v>
      </c>
      <c r="B633" t="str">
        <f>HYPERLINK("か/かん　五疳　1693　鍼灸要歌集　安井昌玄_ページ_5.jpg")</f>
        <v>か/かん　五疳　1693　鍼灸要歌集　安井昌玄_ページ_5.jpg</v>
      </c>
    </row>
    <row r="634" spans="1:2" x14ac:dyDescent="0.15">
      <c r="A634" t="s">
        <v>616</v>
      </c>
      <c r="B634" t="str">
        <f>HYPERLINK("か/かん　五疳　1718　鍼灸重宝記　本郷正豊.jpg")</f>
        <v>か/かん　五疳　1718　鍼灸重宝記　本郷正豊.jpg</v>
      </c>
    </row>
    <row r="635" spans="1:2" x14ac:dyDescent="0.15">
      <c r="A635" t="s">
        <v>617</v>
      </c>
      <c r="B635" t="str">
        <f>HYPERLINK("か/かん　五疳　1773　鍼灸手引草　大簡室主人_ページ_1.jpg")</f>
        <v>か/かん　五疳　1773　鍼灸手引草　大簡室主人_ページ_1.jpg</v>
      </c>
    </row>
    <row r="636" spans="1:2" x14ac:dyDescent="0.15">
      <c r="A636" t="s">
        <v>618</v>
      </c>
      <c r="B636" t="str">
        <f>HYPERLINK("か/かん　五疳　1773　鍼灸手引草　大簡室主人_ページ_2.jpg")</f>
        <v>か/かん　五疳　1773　鍼灸手引草　大簡室主人_ページ_2.jpg</v>
      </c>
    </row>
    <row r="637" spans="1:2" x14ac:dyDescent="0.15">
      <c r="A637" t="s">
        <v>619</v>
      </c>
      <c r="B637" t="str">
        <f>HYPERLINK("か/かん　五疳　1792　鍼法要集　源長起_ページ_1.jpg")</f>
        <v>か/かん　五疳　1792　鍼法要集　源長起_ページ_1.jpg</v>
      </c>
    </row>
    <row r="638" spans="1:2" x14ac:dyDescent="0.15">
      <c r="A638" t="s">
        <v>620</v>
      </c>
      <c r="B638" t="str">
        <f>HYPERLINK("か/かん　五疳　1792　鍼法要集　源長起_ページ_2.jpg")</f>
        <v>か/かん　五疳　1792　鍼法要集　源長起_ページ_2.jpg</v>
      </c>
    </row>
    <row r="639" spans="1:2" x14ac:dyDescent="0.15">
      <c r="A639" t="s">
        <v>621</v>
      </c>
      <c r="B639" t="str">
        <f>HYPERLINK("か/かん　寒　1537　鍼灸聚英　明・高武_ページ_1.jpg")</f>
        <v>か/かん　寒　1537　鍼灸聚英　明・高武_ページ_1.jpg</v>
      </c>
    </row>
    <row r="640" spans="1:2" x14ac:dyDescent="0.15">
      <c r="A640" t="s">
        <v>622</v>
      </c>
      <c r="B640" t="str">
        <f>HYPERLINK("か/かん　寒　1537　鍼灸聚英　明・高武_ページ_2.jpg")</f>
        <v>か/かん　寒　1537　鍼灸聚英　明・高武_ページ_2.jpg</v>
      </c>
    </row>
    <row r="641" spans="1:2" x14ac:dyDescent="0.15">
      <c r="A641" t="s">
        <v>623</v>
      </c>
      <c r="B641" t="str">
        <f>HYPERLINK("か/かん　寒熱　0300　●五臓伝病発寒熱　第一上　鍼灸甲乙経　皇甫謐_ページ_1.jpg")</f>
        <v>か/かん　寒熱　0300　●五臓伝病発寒熱　第一上　鍼灸甲乙経　皇甫謐_ページ_1.jpg</v>
      </c>
    </row>
    <row r="642" spans="1:2" x14ac:dyDescent="0.15">
      <c r="A642" t="s">
        <v>624</v>
      </c>
      <c r="B642" t="str">
        <f>HYPERLINK("か/かん　寒熱　0300　●五臓伝病発寒熱　第一上　鍼灸甲乙経　皇甫謐_ページ_2.jpg")</f>
        <v>か/かん　寒熱　0300　●五臓伝病発寒熱　第一上　鍼灸甲乙経　皇甫謐_ページ_2.jpg</v>
      </c>
    </row>
    <row r="643" spans="1:2" x14ac:dyDescent="0.15">
      <c r="A643" t="s">
        <v>625</v>
      </c>
      <c r="B643" t="str">
        <f>HYPERLINK("か/かん　寒熱　0300　●五臓伝病発寒熱　第一上　鍼灸甲乙経　皇甫謐_ページ_3.jpg")</f>
        <v>か/かん　寒熱　0300　●五臓伝病発寒熱　第一上　鍼灸甲乙経　皇甫謐_ページ_3.jpg</v>
      </c>
    </row>
    <row r="644" spans="1:2" x14ac:dyDescent="0.15">
      <c r="A644" t="s">
        <v>626</v>
      </c>
      <c r="B644" t="str">
        <f>HYPERLINK("か/かん　寒熱　0300　●五臓伝病発寒熱　第一上　鍼灸甲乙経　皇甫謐_ページ_4.jpg")</f>
        <v>か/かん　寒熱　0300　●五臓伝病発寒熱　第一上　鍼灸甲乙経　皇甫謐_ページ_4.jpg</v>
      </c>
    </row>
    <row r="645" spans="1:2" x14ac:dyDescent="0.15">
      <c r="A645" t="s">
        <v>627</v>
      </c>
      <c r="B645" t="str">
        <f>HYPERLINK("か/かん　寒熱　0300　●五臓伝病発寒熱　第一下　鍼灸甲乙経　皇甫謐_ページ_1.jpg")</f>
        <v>か/かん　寒熱　0300　●五臓伝病発寒熱　第一下　鍼灸甲乙経　皇甫謐_ページ_1.jpg</v>
      </c>
    </row>
    <row r="646" spans="1:2" x14ac:dyDescent="0.15">
      <c r="A646" t="s">
        <v>628</v>
      </c>
      <c r="B646" t="str">
        <f>HYPERLINK("か/かん　寒熱　0300　●五臓伝病発寒熱　第一下　鍼灸甲乙経　皇甫謐_ページ_2.jpg")</f>
        <v>か/かん　寒熱　0300　●五臓伝病発寒熱　第一下　鍼灸甲乙経　皇甫謐_ページ_2.jpg</v>
      </c>
    </row>
    <row r="647" spans="1:2" x14ac:dyDescent="0.15">
      <c r="A647" t="s">
        <v>629</v>
      </c>
      <c r="B647" t="str">
        <f>HYPERLINK("か/かん　寒熱　0300　●五臓伝病発寒熱　第一下　鍼灸甲乙経　皇甫謐_ページ_3.jpg")</f>
        <v>か/かん　寒熱　0300　●五臓伝病発寒熱　第一下　鍼灸甲乙経　皇甫謐_ページ_3.jpg</v>
      </c>
    </row>
    <row r="648" spans="1:2" x14ac:dyDescent="0.15">
      <c r="A648" t="s">
        <v>630</v>
      </c>
      <c r="B648" t="str">
        <f>HYPERLINK("か/かん　寒熱　0300　●五臓伝病発寒熱　第一下　鍼灸甲乙経　皇甫謐_ページ_4.jpg")</f>
        <v>か/かん　寒熱　0300　●五臓伝病発寒熱　第一下　鍼灸甲乙経　皇甫謐_ページ_4.jpg</v>
      </c>
    </row>
    <row r="649" spans="1:2" x14ac:dyDescent="0.15">
      <c r="A649" t="s">
        <v>631</v>
      </c>
      <c r="B649" t="str">
        <f>HYPERLINK("か/かん　寒熱　1220　鍼灸資生経　王執中_ページ_1.jpg")</f>
        <v>か/かん　寒熱　1220　鍼灸資生経　王執中_ページ_1.jpg</v>
      </c>
    </row>
    <row r="650" spans="1:2" x14ac:dyDescent="0.15">
      <c r="A650" t="s">
        <v>632</v>
      </c>
      <c r="B650" t="str">
        <f>HYPERLINK("か/かん　寒熱　1220　鍼灸資生経　王執中_ページ_2.jpg")</f>
        <v>か/かん　寒熱　1220　鍼灸資生経　王執中_ページ_2.jpg</v>
      </c>
    </row>
    <row r="651" spans="1:2" x14ac:dyDescent="0.15">
      <c r="A651" t="s">
        <v>633</v>
      </c>
      <c r="B651" t="str">
        <f>HYPERLINK("か/かん　寒熱　1299　続添要穴集　惟宗時俊.jpg")</f>
        <v>か/かん　寒熱　1299　続添要穴集　惟宗時俊.jpg</v>
      </c>
    </row>
    <row r="652" spans="1:2" x14ac:dyDescent="0.15">
      <c r="A652" t="s">
        <v>634</v>
      </c>
      <c r="B652" t="str">
        <f>HYPERLINK("か/かん　寒痰　1694　選鍼三要集　杉山和一.jpg")</f>
        <v>か/かん　寒痰　1694　選鍼三要集　杉山和一.jpg</v>
      </c>
    </row>
    <row r="653" spans="1:2" x14ac:dyDescent="0.15">
      <c r="A653" t="s">
        <v>635</v>
      </c>
      <c r="B653" t="str">
        <f>HYPERLINK("か/かん　汗　1425　神応経　明・陳会撰・劉瑾重校.jpg")</f>
        <v>か/かん　汗　1425　神応経　明・陳会撰・劉瑾重校.jpg</v>
      </c>
    </row>
    <row r="654" spans="1:2" x14ac:dyDescent="0.15">
      <c r="A654" t="s">
        <v>636</v>
      </c>
      <c r="B654" t="str">
        <f>HYPERLINK("か/かん　汗　1679　鍼法奇貨　渡辺東伯_ページ_1.jpg")</f>
        <v>か/かん　汗　1679　鍼法奇貨　渡辺東伯_ページ_1.jpg</v>
      </c>
    </row>
    <row r="655" spans="1:2" x14ac:dyDescent="0.15">
      <c r="A655" t="s">
        <v>637</v>
      </c>
      <c r="B655" t="str">
        <f>HYPERLINK("か/かん　汗　1679　鍼法奇貨　渡辺東伯_ページ_2.jpg")</f>
        <v>か/かん　汗　1679　鍼法奇貨　渡辺東伯_ページ_2.jpg</v>
      </c>
    </row>
    <row r="656" spans="1:2" x14ac:dyDescent="0.15">
      <c r="A656" t="s">
        <v>638</v>
      </c>
      <c r="B656" t="str">
        <f>HYPERLINK("か/かん　汗　1679　鍼法奇貨　渡辺東伯_ページ_3.jpg")</f>
        <v>か/かん　汗　1679　鍼法奇貨　渡辺東伯_ページ_3.jpg</v>
      </c>
    </row>
    <row r="657" spans="1:2" x14ac:dyDescent="0.15">
      <c r="A657" t="s">
        <v>639</v>
      </c>
      <c r="B657" t="str">
        <f>HYPERLINK("か/かん　汗　1680　鍼灸抜萃　著者未詳.jpg")</f>
        <v>か/かん　汗　1680　鍼灸抜萃　著者未詳.jpg</v>
      </c>
    </row>
    <row r="658" spans="1:2" x14ac:dyDescent="0.15">
      <c r="A658" t="s">
        <v>640</v>
      </c>
      <c r="B658" t="str">
        <f>HYPERLINK("か/かん　汗　1693　鍼灸要歌集　安井昌玄.jpg")</f>
        <v>か/かん　汗　1693　鍼灸要歌集　安井昌玄.jpg</v>
      </c>
    </row>
    <row r="659" spans="1:2" x14ac:dyDescent="0.15">
      <c r="A659" t="s">
        <v>641</v>
      </c>
      <c r="B659" t="str">
        <f>HYPERLINK("か/かん　汗　1694　鍼灸そかい集　高津敬節.jpg")</f>
        <v>か/かん　汗　1694　鍼灸そかい集　高津敬節.jpg</v>
      </c>
    </row>
    <row r="660" spans="1:2" x14ac:dyDescent="0.15">
      <c r="A660" t="s">
        <v>642</v>
      </c>
      <c r="B660" t="str">
        <f>HYPERLINK("か/かん　汗　1696　広益鍼灸抜萃　著者未詳.jpg")</f>
        <v>か/かん　汗　1696　広益鍼灸抜萃　著者未詳.jpg</v>
      </c>
    </row>
    <row r="661" spans="1:2" x14ac:dyDescent="0.15">
      <c r="A661" t="s">
        <v>643</v>
      </c>
      <c r="B661" t="str">
        <f>HYPERLINK("か/かん　汗　1718　鍼灸重宝記　本郷正豊.jpg")</f>
        <v>か/かん　汗　1718　鍼灸重宝記　本郷正豊.jpg</v>
      </c>
    </row>
    <row r="662" spans="1:2" x14ac:dyDescent="0.15">
      <c r="A662" t="s">
        <v>644</v>
      </c>
      <c r="B662" t="str">
        <f>HYPERLINK("か/かん　汗　1794　杉山流鍼術　島浦和田一.jpg")</f>
        <v>か/かん　汗　1794　杉山流鍼術　島浦和田一.jpg</v>
      </c>
    </row>
    <row r="663" spans="1:2" x14ac:dyDescent="0.15">
      <c r="A663" t="s">
        <v>645</v>
      </c>
      <c r="B663" t="str">
        <f>HYPERLINK("か/かん　汗　1800　鍼灸備要　小坂元祐.jpg")</f>
        <v>か/かん　汗　1800　鍼灸備要　小坂元祐.jpg</v>
      </c>
    </row>
    <row r="664" spans="1:2" x14ac:dyDescent="0.15">
      <c r="A664" t="s">
        <v>646</v>
      </c>
      <c r="B664" t="str">
        <f>HYPERLINK("か/かん　汗不出　1220　鍼灸資生経　王執中_ページ_1.jpg")</f>
        <v>か/かん　汗不出　1220　鍼灸資生経　王執中_ページ_1.jpg</v>
      </c>
    </row>
    <row r="665" spans="1:2" x14ac:dyDescent="0.15">
      <c r="A665" t="s">
        <v>647</v>
      </c>
      <c r="B665" t="str">
        <f>HYPERLINK("か/かん　汗不出　1220　鍼灸資生経　王執中_ページ_2.jpg")</f>
        <v>か/かん　汗不出　1220　鍼灸資生経　王執中_ページ_2.jpg</v>
      </c>
    </row>
    <row r="666" spans="1:2" x14ac:dyDescent="0.15">
      <c r="A666" t="s">
        <v>648</v>
      </c>
      <c r="B666" t="str">
        <f>HYPERLINK("か/かん　汗不出　1299　続添要穴集　惟宗時俊.jpg")</f>
        <v>か/かん　汗不出　1299　続添要穴集　惟宗時俊.jpg</v>
      </c>
    </row>
    <row r="667" spans="1:2" x14ac:dyDescent="0.15">
      <c r="A667" t="s">
        <v>649</v>
      </c>
      <c r="B667" t="str">
        <f>HYPERLINK("か/かん　汗不出　1694　選鍼三要集　杉山和一.jpg")</f>
        <v>か/かん　汗不出　1694　選鍼三要集　杉山和一.jpg</v>
      </c>
    </row>
    <row r="668" spans="1:2" x14ac:dyDescent="0.15">
      <c r="A668" t="s">
        <v>650</v>
      </c>
      <c r="B668" t="str">
        <f>HYPERLINK("か/かん　汗不止　1765　鍼法弁惑　藤井秀孟.jpg")</f>
        <v>か/かん　汗不止　1765　鍼法弁惑　藤井秀孟.jpg</v>
      </c>
    </row>
    <row r="669" spans="1:2" x14ac:dyDescent="0.15">
      <c r="A669" t="s">
        <v>651</v>
      </c>
      <c r="B669" t="str">
        <f>HYPERLINK("か/かん　汗出　1299　続添要穴集　惟宗時俊.jpg")</f>
        <v>か/かん　汗出　1299　続添要穴集　惟宗時俊.jpg</v>
      </c>
    </row>
    <row r="670" spans="1:2" x14ac:dyDescent="0.15">
      <c r="A670" t="s">
        <v>652</v>
      </c>
      <c r="B670" t="str">
        <f>HYPERLINK("か/かん　汗吐下（かんとげ）　1686　鍼灸要法指南　岩田利斎_ページ_1.jpg")</f>
        <v>か/かん　汗吐下（かんとげ）　1686　鍼灸要法指南　岩田利斎_ページ_1.jpg</v>
      </c>
    </row>
    <row r="671" spans="1:2" x14ac:dyDescent="0.15">
      <c r="A671" t="s">
        <v>653</v>
      </c>
      <c r="B671" t="str">
        <f>HYPERLINK("か/かん　汗吐下（かんとげ）　1686　鍼灸要法指南　岩田利斎_ページ_2.jpg")</f>
        <v>か/かん　汗吐下（かんとげ）　1686　鍼灸要法指南　岩田利斎_ページ_2.jpg</v>
      </c>
    </row>
    <row r="672" spans="1:2" x14ac:dyDescent="0.15">
      <c r="A672" t="s">
        <v>654</v>
      </c>
      <c r="B672" t="str">
        <f>HYPERLINK("か/かん　汗症　1698　鍼灸抜粋大成　岡本一抱.jpg")</f>
        <v>か/かん　汗症　1698　鍼灸抜粋大成　岡本一抱.jpg</v>
      </c>
    </row>
    <row r="673" spans="1:2" x14ac:dyDescent="0.15">
      <c r="A673" t="s">
        <v>655</v>
      </c>
      <c r="B673" t="str">
        <f>HYPERLINK("か/かん　汗証　1669　鍼灸枢要　山本玄通_ページ_1.jpg")</f>
        <v>か/かん　汗証　1669　鍼灸枢要　山本玄通_ページ_1.jpg</v>
      </c>
    </row>
    <row r="674" spans="1:2" x14ac:dyDescent="0.15">
      <c r="A674" t="s">
        <v>656</v>
      </c>
      <c r="B674" t="str">
        <f>HYPERLINK("か/かん　汗証　1669　鍼灸枢要　山本玄通_ページ_2.jpg")</f>
        <v>か/かん　汗証　1669　鍼灸枢要　山本玄通_ページ_2.jpg</v>
      </c>
    </row>
    <row r="675" spans="1:2" x14ac:dyDescent="0.15">
      <c r="A675" t="s">
        <v>657</v>
      </c>
      <c r="B675" t="str">
        <f>HYPERLINK("か/かん　汗証　1669　鍼灸枢要　山本玄通_ページ_3.jpg")</f>
        <v>か/かん　汗証　1669　鍼灸枢要　山本玄通_ページ_3.jpg</v>
      </c>
    </row>
    <row r="676" spans="1:2" x14ac:dyDescent="0.15">
      <c r="A676" t="s">
        <v>658</v>
      </c>
      <c r="B676" t="str">
        <f>HYPERLINK("か/かん　汗証　1669　鍼灸枢要　山本玄通_ページ_4.jpg")</f>
        <v>か/かん　汗証　1669　鍼灸枢要　山本玄通_ページ_4.jpg</v>
      </c>
    </row>
    <row r="677" spans="1:2" x14ac:dyDescent="0.15">
      <c r="A677" t="s">
        <v>659</v>
      </c>
      <c r="B677" t="str">
        <f>HYPERLINK("か/かん　汗証　1686　鍼灸要法指南　岩田利斎_ページ_1.jpg")</f>
        <v>か/かん　汗証　1686　鍼灸要法指南　岩田利斎_ページ_1.jpg</v>
      </c>
    </row>
    <row r="678" spans="1:2" x14ac:dyDescent="0.15">
      <c r="A678" t="s">
        <v>660</v>
      </c>
      <c r="B678" t="str">
        <f>HYPERLINK("か/かん　汗証　1686　鍼灸要法指南　岩田利斎_ページ_2.jpg")</f>
        <v>か/かん　汗証　1686　鍼灸要法指南　岩田利斎_ページ_2.jpg</v>
      </c>
    </row>
    <row r="679" spans="1:2" x14ac:dyDescent="0.15">
      <c r="A679" t="s">
        <v>661</v>
      </c>
      <c r="B679" t="str">
        <f>HYPERLINK("か/かん　汗証　1792　鍼法要集　源長起.jpg")</f>
        <v>か/かん　汗証　1792　鍼法要集　源長起.jpg</v>
      </c>
    </row>
    <row r="680" spans="1:2" x14ac:dyDescent="0.15">
      <c r="A680" t="s">
        <v>662</v>
      </c>
      <c r="B680" t="str">
        <f>HYPERLINK("か/かん　疳　1669　（小児）　鍼灸枢要　山本玄通_ページ_1.jpg")</f>
        <v>か/かん　疳　1669　（小児）　鍼灸枢要　山本玄通_ページ_1.jpg</v>
      </c>
    </row>
    <row r="681" spans="1:2" x14ac:dyDescent="0.15">
      <c r="A681" t="s">
        <v>663</v>
      </c>
      <c r="B681" t="str">
        <f>HYPERLINK("か/かん　疳　1669　（小児）　鍼灸枢要　山本玄通_ページ_2.jpg")</f>
        <v>か/かん　疳　1669　（小児）　鍼灸枢要　山本玄通_ページ_2.jpg</v>
      </c>
    </row>
    <row r="682" spans="1:2" x14ac:dyDescent="0.15">
      <c r="A682" t="s">
        <v>664</v>
      </c>
      <c r="B682" t="str">
        <f>HYPERLINK("か/かん　疳　1685　鍼道秘訣集　御園夢分斎_ページ_1.jpg")</f>
        <v>か/かん　疳　1685　鍼道秘訣集　御園夢分斎_ページ_1.jpg</v>
      </c>
    </row>
    <row r="683" spans="1:2" x14ac:dyDescent="0.15">
      <c r="A683" t="s">
        <v>665</v>
      </c>
      <c r="B683" t="str">
        <f>HYPERLINK("か/かん　疳　1685　鍼道秘訣集　御園夢分斎_ページ_2.jpg")</f>
        <v>か/かん　疳　1685　鍼道秘訣集　御園夢分斎_ページ_2.jpg</v>
      </c>
    </row>
    <row r="684" spans="1:2" x14ac:dyDescent="0.15">
      <c r="A684" t="s">
        <v>666</v>
      </c>
      <c r="B684" t="str">
        <f>HYPERLINK("か/かん　疳　1694　療治之大概集　杉山和一.jpg")</f>
        <v>か/かん　疳　1694　療治之大概集　杉山和一.jpg</v>
      </c>
    </row>
    <row r="685" spans="1:2" x14ac:dyDescent="0.15">
      <c r="A685" t="s">
        <v>667</v>
      </c>
      <c r="B685" t="str">
        <f>HYPERLINK("か/かん　疳　1767　（小児）　鍼灸則　菅沼周桂.jpg")</f>
        <v>か/かん　疳　1767　（小児）　鍼灸則　菅沼周桂.jpg</v>
      </c>
    </row>
    <row r="686" spans="1:2" x14ac:dyDescent="0.15">
      <c r="A686" t="s">
        <v>668</v>
      </c>
      <c r="B686" t="str">
        <f>HYPERLINK("か/かん　疳　1767　（小児）　鍼灸則　菅沼周桂_ページ_1.jpg")</f>
        <v>か/かん　疳　1767　（小児）　鍼灸則　菅沼周桂_ページ_1.jpg</v>
      </c>
    </row>
    <row r="687" spans="1:2" x14ac:dyDescent="0.15">
      <c r="A687" t="s">
        <v>669</v>
      </c>
      <c r="B687" t="str">
        <f>HYPERLINK("か/かん　疳　1767　（小児）　鍼灸則　菅沼周桂_ページ_2.jpg")</f>
        <v>か/かん　疳　1767　（小児）　鍼灸則　菅沼周桂_ページ_2.jpg</v>
      </c>
    </row>
    <row r="688" spans="1:2" x14ac:dyDescent="0.15">
      <c r="A688" t="s">
        <v>670</v>
      </c>
      <c r="B688" t="str">
        <f>HYPERLINK("か/かん　疳　1794　杉山流鍼術　島浦和田一.jpg")</f>
        <v>か/かん　疳　1794　杉山流鍼術　島浦和田一.jpg</v>
      </c>
    </row>
    <row r="689" spans="1:2" x14ac:dyDescent="0.15">
      <c r="A689" t="s">
        <v>671</v>
      </c>
      <c r="B689" t="str">
        <f>HYPERLINK("か/かん　疳　1800　鍼灸備要　小坂元祐_ページ_1.jpg")</f>
        <v>か/かん　疳　1800　鍼灸備要　小坂元祐_ページ_1.jpg</v>
      </c>
    </row>
    <row r="690" spans="1:2" x14ac:dyDescent="0.15">
      <c r="A690" t="s">
        <v>672</v>
      </c>
      <c r="B690" t="str">
        <f>HYPERLINK("か/かん　疳　1800　鍼灸備要　小坂元祐_ページ_2.jpg")</f>
        <v>か/かん　疳　1800　鍼灸備要　小坂元祐_ページ_2.jpg</v>
      </c>
    </row>
    <row r="691" spans="1:2" x14ac:dyDescent="0.15">
      <c r="A691" t="s">
        <v>673</v>
      </c>
      <c r="B691" t="str">
        <f>HYPERLINK("か/かん　疳　1807　続名家灸選　平井庸信.jpg")</f>
        <v>か/かん　疳　1807　続名家灸選　平井庸信.jpg</v>
      </c>
    </row>
    <row r="692" spans="1:2" x14ac:dyDescent="0.15">
      <c r="A692" t="s">
        <v>674</v>
      </c>
      <c r="B692" t="str">
        <f>HYPERLINK("か/かん　疳　1813　名家灸選三編　平井庸信_ページ_1.jpg")</f>
        <v>か/かん　疳　1813　名家灸選三編　平井庸信_ページ_1.jpg</v>
      </c>
    </row>
    <row r="693" spans="1:2" x14ac:dyDescent="0.15">
      <c r="A693" t="s">
        <v>675</v>
      </c>
      <c r="B693" t="str">
        <f>HYPERLINK("か/かん　疳　1813　名家灸選三編　平井庸信_ページ_2.jpg")</f>
        <v>か/かん　疳　1813　名家灸選三編　平井庸信_ページ_2.jpg</v>
      </c>
    </row>
    <row r="694" spans="1:2" x14ac:dyDescent="0.15">
      <c r="A694" t="s">
        <v>676</v>
      </c>
      <c r="B694" t="str">
        <f>HYPERLINK("か/かん　疳気　1607　小児の　扁鵲新流鍼書　越齋寿閑_ページ_1.jpg")</f>
        <v>か/かん　疳気　1607　小児の　扁鵲新流鍼書　越齋寿閑_ページ_1.jpg</v>
      </c>
    </row>
    <row r="695" spans="1:2" x14ac:dyDescent="0.15">
      <c r="A695" t="s">
        <v>677</v>
      </c>
      <c r="B695" t="str">
        <f>HYPERLINK("か/かん　疳気　1607　小児の　扁鵲新流鍼書　越齋寿閑_ページ_2.jpg")</f>
        <v>か/かん　疳気　1607　小児の　扁鵲新流鍼書　越齋寿閑_ページ_2.jpg</v>
      </c>
    </row>
    <row r="696" spans="1:2" x14ac:dyDescent="0.15">
      <c r="A696" t="s">
        <v>678</v>
      </c>
      <c r="B696" t="str">
        <f>HYPERLINK("か/かん　疳痩　1703　小児　鍼灸阿是要穴　岡本一抱_ページ_1.jpg")</f>
        <v>か/かん　疳痩　1703　小児　鍼灸阿是要穴　岡本一抱_ページ_1.jpg</v>
      </c>
    </row>
    <row r="697" spans="1:2" x14ac:dyDescent="0.15">
      <c r="A697" t="s">
        <v>679</v>
      </c>
      <c r="B697" t="str">
        <f>HYPERLINK("か/かん　疳痩　1703　小児　鍼灸阿是要穴　岡本一抱_ページ_2.jpg")</f>
        <v>か/かん　疳痩　1703　小児　鍼灸阿是要穴　岡本一抱_ページ_2.jpg</v>
      </c>
    </row>
    <row r="698" spans="1:2" x14ac:dyDescent="0.15">
      <c r="A698" t="s">
        <v>680</v>
      </c>
      <c r="B698" t="str">
        <f>HYPERLINK("か/かん　疳癖　1694　鍼灸そかい集　高津敬節_ページ_1.jpg")</f>
        <v>か/かん　疳癖　1694　鍼灸そかい集　高津敬節_ページ_1.jpg</v>
      </c>
    </row>
    <row r="699" spans="1:2" x14ac:dyDescent="0.15">
      <c r="A699" t="s">
        <v>681</v>
      </c>
      <c r="B699" t="str">
        <f>HYPERLINK("か/かん　疳癖　1694　鍼灸そかい集　高津敬節_ページ_2.jpg")</f>
        <v>か/かん　疳癖　1694　鍼灸そかい集　高津敬節_ページ_2.jpg</v>
      </c>
    </row>
    <row r="700" spans="1:2" x14ac:dyDescent="0.15">
      <c r="A700" t="s">
        <v>682</v>
      </c>
      <c r="B700" t="str">
        <f>HYPERLINK("か/かん　疳眼　1694　選鍼三要集　杉山和一.jpg")</f>
        <v>か/かん　疳眼　1694　選鍼三要集　杉山和一.jpg</v>
      </c>
    </row>
    <row r="701" spans="1:2" x14ac:dyDescent="0.15">
      <c r="A701" t="s">
        <v>683</v>
      </c>
      <c r="B701" t="str">
        <f>HYPERLINK("か/かん　疳証　成書年未詳　灸穴集　著者未詳.jpg")</f>
        <v>か/かん　疳証　成書年未詳　灸穴集　著者未詳.jpg</v>
      </c>
    </row>
    <row r="702" spans="1:2" x14ac:dyDescent="0.15">
      <c r="A702" t="s">
        <v>684</v>
      </c>
      <c r="B702" t="str">
        <f>HYPERLINK("か/かん　疳証　成書年未詳　灸穴集　著者未詳_ページ_1.jpg")</f>
        <v>か/かん　疳証　成書年未詳　灸穴集　著者未詳_ページ_1.jpg</v>
      </c>
    </row>
    <row r="703" spans="1:2" x14ac:dyDescent="0.15">
      <c r="A703" t="s">
        <v>685</v>
      </c>
      <c r="B703" t="str">
        <f>HYPERLINK("か/かん　疳証　成書年未詳　灸穴集　著者未詳_ページ_2.jpg")</f>
        <v>か/かん　疳証　成書年未詳　灸穴集　著者未詳_ページ_2.jpg</v>
      </c>
    </row>
    <row r="704" spans="1:2" x14ac:dyDescent="0.15">
      <c r="A704" t="s">
        <v>686</v>
      </c>
      <c r="B704" t="str">
        <f>HYPERLINK("か/かん　疳証　成書年未詳　灸穴集　著者未詳_ページ_3.jpg")</f>
        <v>か/かん　疳証　成書年未詳　灸穴集　著者未詳_ページ_3.jpg</v>
      </c>
    </row>
    <row r="705" spans="1:2" x14ac:dyDescent="0.15">
      <c r="A705" t="s">
        <v>687</v>
      </c>
      <c r="B705" t="str">
        <f>HYPERLINK("か/かん　疳証　成書年未詳　灸穴集　著者未詳_ページ_4.jpg")</f>
        <v>か/かん　疳証　成書年未詳　灸穴集　著者未詳_ページ_4.jpg</v>
      </c>
    </row>
    <row r="706" spans="1:2" x14ac:dyDescent="0.15">
      <c r="A706" t="s">
        <v>688</v>
      </c>
      <c r="B706" t="str">
        <f>HYPERLINK("か/かん　疳証　成書年未詳　灸穴集　著者未詳_ページ_5.jpg")</f>
        <v>か/かん　疳証　成書年未詳　灸穴集　著者未詳_ページ_5.jpg</v>
      </c>
    </row>
    <row r="707" spans="1:2" x14ac:dyDescent="0.15">
      <c r="A707" t="s">
        <v>689</v>
      </c>
      <c r="B707" t="str">
        <f>HYPERLINK("か/かん　疳証　成書年未詳　灸穴集　著者未詳_ページ_6.jpg")</f>
        <v>か/かん　疳証　成書年未詳　灸穴集　著者未詳_ページ_6.jpg</v>
      </c>
    </row>
    <row r="708" spans="1:2" x14ac:dyDescent="0.15">
      <c r="A708" t="s">
        <v>690</v>
      </c>
      <c r="B708" t="str">
        <f>HYPERLINK("か/かん　癇　1537　鍼灸聚英　明・高武.jpg")</f>
        <v>か/かん　癇　1537　鍼灸聚英　明・高武.jpg</v>
      </c>
    </row>
    <row r="709" spans="1:2" x14ac:dyDescent="0.15">
      <c r="A709" t="s">
        <v>691</v>
      </c>
      <c r="B709" t="str">
        <f>HYPERLINK("か/かん　癇　1669　（小児）　鍼灸枢要　山本玄通_ページ_1.jpg")</f>
        <v>か/かん　癇　1669　（小児）　鍼灸枢要　山本玄通_ページ_1.jpg</v>
      </c>
    </row>
    <row r="710" spans="1:2" x14ac:dyDescent="0.15">
      <c r="A710" t="s">
        <v>692</v>
      </c>
      <c r="B710" t="str">
        <f>HYPERLINK("か/かん　癇　1669　（小児）　鍼灸枢要　山本玄通_ページ_2.jpg")</f>
        <v>か/かん　癇　1669　（小児）　鍼灸枢要　山本玄通_ページ_2.jpg</v>
      </c>
    </row>
    <row r="711" spans="1:2" x14ac:dyDescent="0.15">
      <c r="A711" t="s">
        <v>693</v>
      </c>
      <c r="B711" t="str">
        <f>HYPERLINK("か/かん　癇　1669　（小児）　鍼灸枢要　山本玄通_ページ_3.jpg")</f>
        <v>か/かん　癇　1669　（小児）　鍼灸枢要　山本玄通_ページ_3.jpg</v>
      </c>
    </row>
    <row r="712" spans="1:2" x14ac:dyDescent="0.15">
      <c r="A712" t="s">
        <v>694</v>
      </c>
      <c r="B712" t="str">
        <f>HYPERLINK("か/かん　癇　1669　（小児）　鍼灸枢要　山本玄通_ページ_4.jpg")</f>
        <v>か/かん　癇　1669　（小児）　鍼灸枢要　山本玄通_ページ_4.jpg</v>
      </c>
    </row>
    <row r="713" spans="1:2" x14ac:dyDescent="0.15">
      <c r="A713" t="s">
        <v>695</v>
      </c>
      <c r="B713" t="str">
        <f>HYPERLINK("か/かん　癇　1669　（小児）　鍼灸枢要　山本玄通_ページ_5.jpg")</f>
        <v>か/かん　癇　1669　（小児）　鍼灸枢要　山本玄通_ページ_5.jpg</v>
      </c>
    </row>
    <row r="714" spans="1:2" x14ac:dyDescent="0.15">
      <c r="A714" t="s">
        <v>696</v>
      </c>
      <c r="B714" t="str">
        <f>HYPERLINK("か/かん　癇　1669　（小児）　鍼灸枢要　山本玄通_ページ_6.jpg")</f>
        <v>か/かん　癇　1669　（小児）　鍼灸枢要　山本玄通_ページ_6.jpg</v>
      </c>
    </row>
    <row r="715" spans="1:2" x14ac:dyDescent="0.15">
      <c r="A715" t="s">
        <v>697</v>
      </c>
      <c r="B715" t="str">
        <f>HYPERLINK("か/かん　癇　1669　（小児）　鍼灸枢要　山本玄通_ページ_7.jpg")</f>
        <v>か/かん　癇　1669　（小児）　鍼灸枢要　山本玄通_ページ_7.jpg</v>
      </c>
    </row>
    <row r="716" spans="1:2" x14ac:dyDescent="0.15">
      <c r="A716" t="s">
        <v>698</v>
      </c>
      <c r="B716" t="str">
        <f>HYPERLINK("か/かん　癇　1669　（小児）　鍼灸枢要　山本玄通_ページ_8.jpg")</f>
        <v>か/かん　癇　1669　（小児）　鍼灸枢要　山本玄通_ページ_8.jpg</v>
      </c>
    </row>
    <row r="717" spans="1:2" x14ac:dyDescent="0.15">
      <c r="A717" t="s">
        <v>699</v>
      </c>
      <c r="B717" t="str">
        <f>HYPERLINK("か/かん　癇　1669　（小児）　鍼灸枢要　山本玄通_ページ_9.jpg")</f>
        <v>か/かん　癇　1669　（小児）　鍼灸枢要　山本玄通_ページ_9.jpg</v>
      </c>
    </row>
    <row r="718" spans="1:2" x14ac:dyDescent="0.15">
      <c r="A718" t="s">
        <v>700</v>
      </c>
      <c r="B718" t="str">
        <f>HYPERLINK("か/かん　癇　1767　鍼灸則　菅沼周桂_ページ_1.jpg")</f>
        <v>か/かん　癇　1767　鍼灸則　菅沼周桂_ページ_1.jpg</v>
      </c>
    </row>
    <row r="719" spans="1:2" x14ac:dyDescent="0.15">
      <c r="A719" t="s">
        <v>701</v>
      </c>
      <c r="B719" t="str">
        <f>HYPERLINK("か/かん　癇　1767　鍼灸則　菅沼周桂_ページ_2.jpg")</f>
        <v>か/かん　癇　1767　鍼灸則　菅沼周桂_ページ_2.jpg</v>
      </c>
    </row>
    <row r="720" spans="1:2" x14ac:dyDescent="0.15">
      <c r="A720" t="s">
        <v>702</v>
      </c>
      <c r="B720" t="str">
        <f>HYPERLINK("か/かん　癇　1794　杉山流鍼術　島浦和田一.jpg")</f>
        <v>か/かん　癇　1794　杉山流鍼術　島浦和田一.jpg</v>
      </c>
    </row>
    <row r="721" spans="1:2" x14ac:dyDescent="0.15">
      <c r="A721" t="s">
        <v>703</v>
      </c>
      <c r="B721" t="str">
        <f>HYPERLINK("か/かん　癇　1800　鍼灸備要　小坂元祐_ページ_1.jpg")</f>
        <v>か/かん　癇　1800　鍼灸備要　小坂元祐_ページ_1.jpg</v>
      </c>
    </row>
    <row r="722" spans="1:2" x14ac:dyDescent="0.15">
      <c r="A722" t="s">
        <v>704</v>
      </c>
      <c r="B722" t="str">
        <f>HYPERLINK("か/かん　癇　1800　鍼灸備要　小坂元祐_ページ_2.jpg")</f>
        <v>か/かん　癇　1800　鍼灸備要　小坂元祐_ページ_2.jpg</v>
      </c>
    </row>
    <row r="723" spans="1:2" x14ac:dyDescent="0.15">
      <c r="A723" t="s">
        <v>705</v>
      </c>
      <c r="B723" t="str">
        <f>HYPERLINK("か/かん　癇　1800　鍼灸備要　小坂元祐_ページ_3.jpg")</f>
        <v>か/かん　癇　1800　鍼灸備要　小坂元祐_ページ_3.jpg</v>
      </c>
    </row>
    <row r="724" spans="1:2" x14ac:dyDescent="0.15">
      <c r="A724" t="s">
        <v>706</v>
      </c>
      <c r="B724" t="str">
        <f>HYPERLINK("か/かん　癇　1800　鍼灸備要　小坂元祐_ページ_4.jpg")</f>
        <v>か/かん　癇　1800　鍼灸備要　小坂元祐_ページ_4.jpg</v>
      </c>
    </row>
    <row r="725" spans="1:2" x14ac:dyDescent="0.15">
      <c r="A725" t="s">
        <v>707</v>
      </c>
      <c r="B725" t="str">
        <f>HYPERLINK("か/かん　癇　1800　鍼灸備要　小坂元祐_ページ_5.jpg")</f>
        <v>か/かん　癇　1800　鍼灸備要　小坂元祐_ページ_5.jpg</v>
      </c>
    </row>
    <row r="726" spans="1:2" x14ac:dyDescent="0.15">
      <c r="A726" t="s">
        <v>708</v>
      </c>
      <c r="B726" t="str">
        <f>HYPERLINK("か/かん　癇　1800　鍼灸備要　小坂元祐_ページ_6.jpg")</f>
        <v>か/かん　癇　1800　鍼灸備要　小坂元祐_ページ_6.jpg</v>
      </c>
    </row>
    <row r="727" spans="1:2" x14ac:dyDescent="0.15">
      <c r="A727" t="s">
        <v>709</v>
      </c>
      <c r="B727" t="str">
        <f>HYPERLINK("か/かん　癇　玉機微義針灸証治　1537　鍼灸聚英　明・高武_ページ_1.jpg")</f>
        <v>か/かん　癇　玉機微義針灸証治　1537　鍼灸聚英　明・高武_ページ_1.jpg</v>
      </c>
    </row>
    <row r="728" spans="1:2" x14ac:dyDescent="0.15">
      <c r="A728" t="s">
        <v>710</v>
      </c>
      <c r="B728" t="str">
        <f>HYPERLINK("か/かん　癇　玉機微義針灸証治　1537　鍼灸聚英　明・高武_ページ_2.jpg")</f>
        <v>か/かん　癇　玉機微義針灸証治　1537　鍼灸聚英　明・高武_ページ_2.jpg</v>
      </c>
    </row>
    <row r="729" spans="1:2" x14ac:dyDescent="0.15">
      <c r="A729" t="s">
        <v>711</v>
      </c>
      <c r="B729" t="str">
        <f>HYPERLINK("か/かん　癲　1686　鍼灸要法指南　岩田利斎_ページ_1.jpg")</f>
        <v>か/かん　癲　1686　鍼灸要法指南　岩田利斎_ページ_1.jpg</v>
      </c>
    </row>
    <row r="730" spans="1:2" x14ac:dyDescent="0.15">
      <c r="A730" t="s">
        <v>712</v>
      </c>
      <c r="B730" t="str">
        <f>HYPERLINK("か/かん　癲　1686　鍼灸要法指南　岩田利斎_ページ_2.jpg")</f>
        <v>か/かん　癲　1686　鍼灸要法指南　岩田利斎_ページ_2.jpg</v>
      </c>
    </row>
    <row r="731" spans="1:2" x14ac:dyDescent="0.15">
      <c r="A731" t="s">
        <v>713</v>
      </c>
      <c r="B731" t="str">
        <f>HYPERLINK("か/かん　肝の積　1607　扁鵲新流鍼書　越齋寿閑.jpg")</f>
        <v>か/かん　肝の積　1607　扁鵲新流鍼書　越齋寿閑.jpg</v>
      </c>
    </row>
    <row r="732" spans="1:2" x14ac:dyDescent="0.15">
      <c r="A732" t="s">
        <v>714</v>
      </c>
      <c r="B732" t="str">
        <f>HYPERLINK("か/かん　肝積名肥気、在左脇下　1694　選鍼三要集　杉山和一.jpg")</f>
        <v>か/かん　肝積名肥気、在左脇下　1694　選鍼三要集　杉山和一.jpg</v>
      </c>
    </row>
    <row r="733" spans="1:2" x14ac:dyDescent="0.15">
      <c r="A733" t="s">
        <v>715</v>
      </c>
      <c r="B733" t="str">
        <f>HYPERLINK("か/かん　関格　1767　鍼灸則　菅沼周桂_ページ_1.jpg")</f>
        <v>か/かん　関格　1767　鍼灸則　菅沼周桂_ページ_1.jpg</v>
      </c>
    </row>
    <row r="734" spans="1:2" x14ac:dyDescent="0.15">
      <c r="A734" t="s">
        <v>716</v>
      </c>
      <c r="B734" t="str">
        <f>HYPERLINK("か/かん　関格　1767　鍼灸則　菅沼周桂_ページ_2.jpg")</f>
        <v>か/かん　関格　1767　鍼灸則　菅沼周桂_ページ_2.jpg</v>
      </c>
    </row>
    <row r="735" spans="1:2" x14ac:dyDescent="0.15">
      <c r="A735" t="s">
        <v>717</v>
      </c>
      <c r="B735" t="str">
        <f>HYPERLINK("が/が　牙歯　1563　鍼灸集要　曲直瀬道三.jpg")</f>
        <v>が/が　牙歯　1563　鍼灸集要　曲直瀬道三.jpg</v>
      </c>
    </row>
    <row r="736" spans="1:2" x14ac:dyDescent="0.15">
      <c r="A736" t="s">
        <v>718</v>
      </c>
      <c r="B736" t="str">
        <f>HYPERLINK("が/が　牙歯　1669　鍼灸枢要　山本玄通_ページ_1.jpg")</f>
        <v>が/が　牙歯　1669　鍼灸枢要　山本玄通_ページ_1.jpg</v>
      </c>
    </row>
    <row r="737" spans="1:2" x14ac:dyDescent="0.15">
      <c r="A737" t="s">
        <v>719</v>
      </c>
      <c r="B737" t="str">
        <f>HYPERLINK("が/が　牙歯　1669　鍼灸枢要　山本玄通_ページ_2.jpg")</f>
        <v>が/が　牙歯　1669　鍼灸枢要　山本玄通_ページ_2.jpg</v>
      </c>
    </row>
    <row r="738" spans="1:2" x14ac:dyDescent="0.15">
      <c r="A738" t="s">
        <v>720</v>
      </c>
      <c r="B738" t="str">
        <f>HYPERLINK("が/が　牙歯　1669　鍼灸枢要　山本玄通_ページ_3.jpg")</f>
        <v>が/が　牙歯　1669　鍼灸枢要　山本玄通_ページ_3.jpg</v>
      </c>
    </row>
    <row r="739" spans="1:2" x14ac:dyDescent="0.15">
      <c r="A739" t="s">
        <v>721</v>
      </c>
      <c r="B739" t="str">
        <f>HYPERLINK("が/が　牙歯　1669　鍼灸枢要　山本玄通_ページ_4.jpg")</f>
        <v>が/が　牙歯　1669　鍼灸枢要　山本玄通_ページ_4.jpg</v>
      </c>
    </row>
    <row r="740" spans="1:2" x14ac:dyDescent="0.15">
      <c r="A740" t="s">
        <v>722</v>
      </c>
      <c r="B740" t="str">
        <f>HYPERLINK("が/が　牙歯　1669　鍼灸枢要　山本玄通_ページ_5.jpg")</f>
        <v>が/が　牙歯　1669　鍼灸枢要　山本玄通_ページ_5.jpg</v>
      </c>
    </row>
    <row r="741" spans="1:2" x14ac:dyDescent="0.15">
      <c r="A741" t="s">
        <v>723</v>
      </c>
      <c r="B741" t="str">
        <f>HYPERLINK("が/が　牙歯　1679　鍼法奇貨　渡辺東伯_ページ_1.jpg")</f>
        <v>が/が　牙歯　1679　鍼法奇貨　渡辺東伯_ページ_1.jpg</v>
      </c>
    </row>
    <row r="742" spans="1:2" x14ac:dyDescent="0.15">
      <c r="A742" t="s">
        <v>724</v>
      </c>
      <c r="B742" t="str">
        <f>HYPERLINK("が/が　牙歯　1679　鍼法奇貨　渡辺東伯_ページ_2.jpg")</f>
        <v>が/が　牙歯　1679　鍼法奇貨　渡辺東伯_ページ_2.jpg</v>
      </c>
    </row>
    <row r="743" spans="1:2" x14ac:dyDescent="0.15">
      <c r="A743" t="s">
        <v>725</v>
      </c>
      <c r="B743" t="str">
        <f>HYPERLINK("が/が　牙歯　1679　鍼法奇貨　渡辺東伯_ページ_3.jpg")</f>
        <v>が/が　牙歯　1679　鍼法奇貨　渡辺東伯_ページ_3.jpg</v>
      </c>
    </row>
    <row r="744" spans="1:2" x14ac:dyDescent="0.15">
      <c r="A744" t="s">
        <v>726</v>
      </c>
      <c r="B744" t="str">
        <f>HYPERLINK("が/が　牙歯　1679　鍼法奇貨　渡辺東伯_ページ_4.jpg")</f>
        <v>が/が　牙歯　1679　鍼法奇貨　渡辺東伯_ページ_4.jpg</v>
      </c>
    </row>
    <row r="745" spans="1:2" x14ac:dyDescent="0.15">
      <c r="A745" t="s">
        <v>727</v>
      </c>
      <c r="B745" t="str">
        <f>HYPERLINK("が/が　牙歯　1679　鍼法奇貨　渡辺東伯_ページ_5.jpg")</f>
        <v>が/が　牙歯　1679　鍼法奇貨　渡辺東伯_ページ_5.jpg</v>
      </c>
    </row>
    <row r="746" spans="1:2" x14ac:dyDescent="0.15">
      <c r="A746" t="s">
        <v>728</v>
      </c>
      <c r="B746" t="str">
        <f>HYPERLINK("が/が　牙歯　1680　鍼灸抜萃　著者未詳.jpg")</f>
        <v>が/が　牙歯　1680　鍼灸抜萃　著者未詳.jpg</v>
      </c>
    </row>
    <row r="747" spans="1:2" x14ac:dyDescent="0.15">
      <c r="A747" t="s">
        <v>729</v>
      </c>
      <c r="B747" t="str">
        <f>HYPERLINK("が/が　牙歯　1686　鍼灸要法指南　岩田利斎.jpg")</f>
        <v>が/が　牙歯　1686　鍼灸要法指南　岩田利斎.jpg</v>
      </c>
    </row>
    <row r="748" spans="1:2" x14ac:dyDescent="0.15">
      <c r="A748" t="s">
        <v>730</v>
      </c>
      <c r="B748" t="str">
        <f>HYPERLINK("が/が　牙歯　1693　鍼灸要歌集　安井昌玄_ページ_1.jpg")</f>
        <v>が/が　牙歯　1693　鍼灸要歌集　安井昌玄_ページ_1.jpg</v>
      </c>
    </row>
    <row r="749" spans="1:2" x14ac:dyDescent="0.15">
      <c r="A749" t="s">
        <v>731</v>
      </c>
      <c r="B749" t="str">
        <f>HYPERLINK("が/が　牙歯　1693　鍼灸要歌集　安井昌玄_ページ_2.jpg")</f>
        <v>が/が　牙歯　1693　鍼灸要歌集　安井昌玄_ページ_2.jpg</v>
      </c>
    </row>
    <row r="750" spans="1:2" x14ac:dyDescent="0.15">
      <c r="A750" t="s">
        <v>732</v>
      </c>
      <c r="B750" t="str">
        <f>HYPERLINK("が/が　牙歯　1694　鍼灸そかい集　高津敬節_ページ_1.jpg")</f>
        <v>が/が　牙歯　1694　鍼灸そかい集　高津敬節_ページ_1.jpg</v>
      </c>
    </row>
    <row r="751" spans="1:2" x14ac:dyDescent="0.15">
      <c r="A751" t="s">
        <v>733</v>
      </c>
      <c r="B751" t="str">
        <f>HYPERLINK("が/が　牙歯　1694　鍼灸そかい集　高津敬節_ページ_2.jpg")</f>
        <v>が/が　牙歯　1694　鍼灸そかい集　高津敬節_ページ_2.jpg</v>
      </c>
    </row>
    <row r="752" spans="1:2" x14ac:dyDescent="0.15">
      <c r="A752" t="s">
        <v>734</v>
      </c>
      <c r="B752" t="str">
        <f>HYPERLINK("が/が　牙歯　1696　広益鍼灸抜萃　著者未詳_ページ_1.jpg")</f>
        <v>が/が　牙歯　1696　広益鍼灸抜萃　著者未詳_ページ_1.jpg</v>
      </c>
    </row>
    <row r="753" spans="1:2" x14ac:dyDescent="0.15">
      <c r="A753" t="s">
        <v>735</v>
      </c>
      <c r="B753" t="str">
        <f>HYPERLINK("が/が　牙歯　1696　広益鍼灸抜萃　著者未詳_ページ_2.jpg")</f>
        <v>が/が　牙歯　1696　広益鍼灸抜萃　著者未詳_ページ_2.jpg</v>
      </c>
    </row>
    <row r="754" spans="1:2" x14ac:dyDescent="0.15">
      <c r="A754" t="s">
        <v>736</v>
      </c>
      <c r="B754" t="str">
        <f>HYPERLINK("が/が　牙歯　1698　鍼灸抜粋大成　岡本一抱.jpg")</f>
        <v>が/が　牙歯　1698　鍼灸抜粋大成　岡本一抱.jpg</v>
      </c>
    </row>
    <row r="755" spans="1:2" x14ac:dyDescent="0.15">
      <c r="A755" t="s">
        <v>737</v>
      </c>
      <c r="B755" t="str">
        <f>HYPERLINK("が/が　牙歯　1718　鍼灸重宝記　本郷正豊_ページ_1.jpg")</f>
        <v>が/が　牙歯　1718　鍼灸重宝記　本郷正豊_ページ_1.jpg</v>
      </c>
    </row>
    <row r="756" spans="1:2" x14ac:dyDescent="0.15">
      <c r="A756" t="s">
        <v>738</v>
      </c>
      <c r="B756" t="str">
        <f>HYPERLINK("が/が　牙歯　1718　鍼灸重宝記　本郷正豊_ページ_2.jpg")</f>
        <v>が/が　牙歯　1718　鍼灸重宝記　本郷正豊_ページ_2.jpg</v>
      </c>
    </row>
    <row r="757" spans="1:2" x14ac:dyDescent="0.15">
      <c r="A757" t="s">
        <v>739</v>
      </c>
      <c r="B757" t="str">
        <f>HYPERLINK("が/が　牙歯　1773　鍼灸手引草　大簡室主人_ページ_1.jpg")</f>
        <v>が/が　牙歯　1773　鍼灸手引草　大簡室主人_ページ_1.jpg</v>
      </c>
    </row>
    <row r="758" spans="1:2" x14ac:dyDescent="0.15">
      <c r="A758" t="s">
        <v>740</v>
      </c>
      <c r="B758" t="str">
        <f>HYPERLINK("が/が　牙歯　1773　鍼灸手引草　大簡室主人_ページ_2.jpg")</f>
        <v>が/が　牙歯　1773　鍼灸手引草　大簡室主人_ページ_2.jpg</v>
      </c>
    </row>
    <row r="759" spans="1:2" x14ac:dyDescent="0.15">
      <c r="A759" t="s">
        <v>741</v>
      </c>
      <c r="B759" t="str">
        <f>HYPERLINK("が/が　牙歯　1792　鍼法要集　源長起_ページ_1.jpg")</f>
        <v>が/が　牙歯　1792　鍼法要集　源長起_ページ_1.jpg</v>
      </c>
    </row>
    <row r="760" spans="1:2" x14ac:dyDescent="0.15">
      <c r="A760" t="s">
        <v>742</v>
      </c>
      <c r="B760" t="str">
        <f>HYPERLINK("が/が　牙歯　1792　鍼法要集　源長起_ページ_2.jpg")</f>
        <v>が/が　牙歯　1792　鍼法要集　源長起_ページ_2.jpg</v>
      </c>
    </row>
    <row r="761" spans="1:2" x14ac:dyDescent="0.15">
      <c r="A761" t="s">
        <v>743</v>
      </c>
      <c r="B761" t="str">
        <f>HYPERLINK("が/が　牙歯　1800　鍼灸備要　小坂元祐_ページ_1.jpg")</f>
        <v>が/が　牙歯　1800　鍼灸備要　小坂元祐_ページ_1.jpg</v>
      </c>
    </row>
    <row r="762" spans="1:2" x14ac:dyDescent="0.15">
      <c r="A762" t="s">
        <v>744</v>
      </c>
      <c r="B762" t="str">
        <f>HYPERLINK("が/が　牙歯　1800　鍼灸備要　小坂元祐_ページ_2.jpg")</f>
        <v>が/が　牙歯　1800　鍼灸備要　小坂元祐_ページ_2.jpg</v>
      </c>
    </row>
    <row r="763" spans="1:2" x14ac:dyDescent="0.15">
      <c r="A763" t="s">
        <v>745</v>
      </c>
      <c r="B763" t="str">
        <f>HYPERLINK("が/が　牙歯　1807　続名家灸選　平井庸信_ページ_1.jpg")</f>
        <v>が/が　牙歯　1807　続名家灸選　平井庸信_ページ_1.jpg</v>
      </c>
    </row>
    <row r="764" spans="1:2" x14ac:dyDescent="0.15">
      <c r="A764" t="s">
        <v>746</v>
      </c>
      <c r="B764" t="str">
        <f>HYPERLINK("が/が　牙歯　1807　続名家灸選　平井庸信_ページ_2.jpg")</f>
        <v>が/が　牙歯　1807　続名家灸選　平井庸信_ページ_2.jpg</v>
      </c>
    </row>
    <row r="765" spans="1:2" x14ac:dyDescent="0.15">
      <c r="A765" t="s">
        <v>747</v>
      </c>
      <c r="B765" t="str">
        <f>HYPERLINK("が/が　牙歯　1813　名家灸選　浅井惟亨.jpg")</f>
        <v>が/が　牙歯　1813　名家灸選　浅井惟亨.jpg</v>
      </c>
    </row>
    <row r="766" spans="1:2" x14ac:dyDescent="0.15">
      <c r="A766" t="s">
        <v>748</v>
      </c>
      <c r="B766" t="str">
        <f>HYPERLINK("が/が　牙歯　1813　名家灸選三編　平井庸信_ページ_1.jpg")</f>
        <v>が/が　牙歯　1813　名家灸選三編　平井庸信_ページ_1.jpg</v>
      </c>
    </row>
    <row r="767" spans="1:2" x14ac:dyDescent="0.15">
      <c r="A767" t="s">
        <v>749</v>
      </c>
      <c r="B767" t="str">
        <f>HYPERLINK("が/が　牙歯　1813　名家灸選三編　平井庸信_ページ_2.jpg")</f>
        <v>が/が　牙歯　1813　名家灸選三編　平井庸信_ページ_2.jpg</v>
      </c>
    </row>
    <row r="768" spans="1:2" x14ac:dyDescent="0.15">
      <c r="A768" t="s">
        <v>750</v>
      </c>
      <c r="B768" t="str">
        <f>HYPERLINK("が/が　牙歯病　成書年未詳　灸穴集　著者未詳_ページ_1.jpg")</f>
        <v>が/が　牙歯病　成書年未詳　灸穴集　著者未詳_ページ_1.jpg</v>
      </c>
    </row>
    <row r="769" spans="1:2" x14ac:dyDescent="0.15">
      <c r="A769" t="s">
        <v>751</v>
      </c>
      <c r="B769" t="str">
        <f>HYPERLINK("が/が　牙歯病　成書年未詳　灸穴集　著者未詳_ページ_2.jpg")</f>
        <v>が/が　牙歯病　成書年未詳　灸穴集　著者未詳_ページ_2.jpg</v>
      </c>
    </row>
    <row r="770" spans="1:2" x14ac:dyDescent="0.15">
      <c r="A770" t="s">
        <v>752</v>
      </c>
      <c r="B770" t="str">
        <f>HYPERLINK("が/が　牙歯病　成書年未詳　灸穴集　著者未詳_ページ_3.jpg")</f>
        <v>が/が　牙歯病　成書年未詳　灸穴集　著者未詳_ページ_3.jpg</v>
      </c>
    </row>
    <row r="771" spans="1:2" x14ac:dyDescent="0.15">
      <c r="A771" t="s">
        <v>753</v>
      </c>
      <c r="B771" t="str">
        <f>HYPERLINK("が/が　牙歯病　成書年未詳　灸穴集　著者未詳_ページ_4.jpg")</f>
        <v>が/が　牙歯病　成書年未詳　灸穴集　著者未詳_ページ_4.jpg</v>
      </c>
    </row>
    <row r="772" spans="1:2" x14ac:dyDescent="0.15">
      <c r="A772" t="s">
        <v>754</v>
      </c>
      <c r="B772" t="str">
        <f>HYPERLINK("が/が　牙歯病　成書年未詳　灸穴集　著者未詳_ページ_5.jpg")</f>
        <v>が/が　牙歯病　成書年未詳　灸穴集　著者未詳_ページ_5.jpg</v>
      </c>
    </row>
    <row r="773" spans="1:2" x14ac:dyDescent="0.15">
      <c r="A773" t="s">
        <v>755</v>
      </c>
      <c r="B773" t="str">
        <f>HYPERLINK("が/が　牙歯病　成書年未詳　灸穴集　著者未詳_ページ_6.jpg")</f>
        <v>が/が　牙歯病　成書年未詳　灸穴集　著者未詳_ページ_6.jpg</v>
      </c>
    </row>
    <row r="774" spans="1:2" x14ac:dyDescent="0.15">
      <c r="A774" t="s">
        <v>756</v>
      </c>
      <c r="B774" t="str">
        <f>HYPERLINK("が/が　牙疼　1220　鍼灸資生経　王執中_ページ_1.jpg")</f>
        <v>が/が　牙疼　1220　鍼灸資生経　王執中_ページ_1.jpg</v>
      </c>
    </row>
    <row r="775" spans="1:2" x14ac:dyDescent="0.15">
      <c r="A775" t="s">
        <v>757</v>
      </c>
      <c r="B775" t="str">
        <f>HYPERLINK("が/が　牙疼　1220　鍼灸資生経　王執中_ページ_2.jpg")</f>
        <v>が/が　牙疼　1220　鍼灸資生経　王執中_ページ_2.jpg</v>
      </c>
    </row>
    <row r="776" spans="1:2" x14ac:dyDescent="0.15">
      <c r="A776" t="s">
        <v>758</v>
      </c>
      <c r="B776" t="str">
        <f>HYPERLINK("が/が　牙疼　1315　鍼経摘英集　元・杜思敬「済生抜粋方」.jpg")</f>
        <v>が/が　牙疼　1315　鍼経摘英集　元・杜思敬「済生抜粋方」.jpg</v>
      </c>
    </row>
    <row r="777" spans="1:2" x14ac:dyDescent="0.15">
      <c r="A777" t="s">
        <v>759</v>
      </c>
      <c r="B777" t="str">
        <f>HYPERLINK("が/が　牙疼　1329　扁鵲神応鍼灸玉龍経　元・王国瑞.jpg")</f>
        <v>が/が　牙疼　1329　扁鵲神応鍼灸玉龍経　元・王国瑞.jpg</v>
      </c>
    </row>
    <row r="778" spans="1:2" x14ac:dyDescent="0.15">
      <c r="A778" t="s">
        <v>760</v>
      </c>
      <c r="B778" t="str">
        <f>HYPERLINK("が/が　牙疼　1537　鍼灸聚英　明・高武.jpg")</f>
        <v>が/が　牙疼　1537　鍼灸聚英　明・高武.jpg</v>
      </c>
    </row>
    <row r="779" spans="1:2" x14ac:dyDescent="0.15">
      <c r="A779" t="s">
        <v>761</v>
      </c>
      <c r="B779" t="str">
        <f>HYPERLINK("が/が　牙疼　1594　経脈方寸秘書　曲直瀬道三_ページ_1.jpg")</f>
        <v>が/が　牙疼　1594　経脈方寸秘書　曲直瀬道三_ページ_1.jpg</v>
      </c>
    </row>
    <row r="780" spans="1:2" x14ac:dyDescent="0.15">
      <c r="A780" t="s">
        <v>762</v>
      </c>
      <c r="B780" t="str">
        <f>HYPERLINK("が/が　牙疼　1594　経脈方寸秘書　曲直瀬道三_ページ_2.jpg")</f>
        <v>が/が　牙疼　1594　経脈方寸秘書　曲直瀬道三_ページ_2.jpg</v>
      </c>
    </row>
    <row r="781" spans="1:2" x14ac:dyDescent="0.15">
      <c r="A781" t="s">
        <v>763</v>
      </c>
      <c r="B781" t="str">
        <f>HYPERLINK("が/が　牙疼　附嘔吐　1329　扁鵲神応鍼灸玉龍経　元・王国瑞.jpg")</f>
        <v>が/が　牙疼　附嘔吐　1329　扁鵲神応鍼灸玉龍経　元・王国瑞.jpg</v>
      </c>
    </row>
    <row r="782" spans="1:2" x14ac:dyDescent="0.15">
      <c r="A782" t="s">
        <v>764</v>
      </c>
      <c r="B782" t="str">
        <f>HYPERLINK("が/が　牙疼法　1224　医説　宋・張杲_ページ_1.jpg")</f>
        <v>が/が　牙疼法　1224　医説　宋・張杲_ページ_1.jpg</v>
      </c>
    </row>
    <row r="783" spans="1:2" x14ac:dyDescent="0.15">
      <c r="A783" t="s">
        <v>765</v>
      </c>
      <c r="B783" t="str">
        <f>HYPERLINK("が/が　牙疼法　1224　医説　宋・張杲_ページ_2.jpg")</f>
        <v>が/が　牙疼法　1224　医説　宋・張杲_ページ_2.jpg</v>
      </c>
    </row>
    <row r="784" spans="1:2" x14ac:dyDescent="0.15">
      <c r="A784" t="s">
        <v>766</v>
      </c>
      <c r="B784" t="str">
        <f>HYPERLINK("が/が　牙関噤急　1912年（大正01）　鍼灸手引草　久木田七郎.jpg")</f>
        <v>が/が　牙関噤急　1912年（大正01）　鍼灸手引草　久木田七郎.jpg</v>
      </c>
    </row>
    <row r="785" spans="1:2" x14ac:dyDescent="0.15">
      <c r="A785" t="s">
        <v>767</v>
      </c>
      <c r="B785" t="str">
        <f>HYPERLINK("が/が　牙齦（しぎん）腫痛　歯ぐきのはれて痛む病　歯齦炎　1887（明治20）　鍼灸備要　青山道醇.jpg")</f>
        <v>が/が　牙齦（しぎん）腫痛　歯ぐきのはれて痛む病　歯齦炎　1887（明治20）　鍼灸備要　青山道醇.jpg</v>
      </c>
    </row>
    <row r="786" spans="1:2" x14ac:dyDescent="0.15">
      <c r="A786" t="s">
        <v>768</v>
      </c>
      <c r="B786" t="str">
        <f>HYPERLINK("が/が　鵝掌風　うらむしにて手のひらの皮のむけ、さけなどするに　1780　鍼灸極秘伝　木村太沖.jpg")</f>
        <v>が/が　鵝掌風　うらむしにて手のひらの皮のむけ、さけなどするに　1780　鍼灸極秘伝　木村太沖.jpg</v>
      </c>
    </row>
    <row r="787" spans="1:2" x14ac:dyDescent="0.15">
      <c r="A787" t="s">
        <v>769</v>
      </c>
      <c r="B787" t="str">
        <f>HYPERLINK("が/が　鵞（が）口　しろした　鵞口瘡　1887（明治20）　鍼灸備要　青山道醇.jpg")</f>
        <v>が/が　鵞（が）口　しろした　鵞口瘡　1887（明治20）　鍼灸備要　青山道醇.jpg</v>
      </c>
    </row>
    <row r="788" spans="1:2" x14ac:dyDescent="0.15">
      <c r="A788" t="s">
        <v>770</v>
      </c>
      <c r="B788" t="str">
        <f>HYPERLINK("が/がい　がい瘧　1718　おこり　鍼灸重宝記　本郷正豊.jpg")</f>
        <v>が/がい　がい瘧　1718　おこり　鍼灸重宝記　本郷正豊.jpg</v>
      </c>
    </row>
    <row r="789" spans="1:2" x14ac:dyDescent="0.15">
      <c r="A789" t="s">
        <v>771</v>
      </c>
      <c r="B789" t="str">
        <f>HYPERLINK("が/がい　咳嗽　1220　鍼灸資生経　王執中_ページ_1.jpg")</f>
        <v>が/がい　咳嗽　1220　鍼灸資生経　王執中_ページ_1.jpg</v>
      </c>
    </row>
    <row r="790" spans="1:2" x14ac:dyDescent="0.15">
      <c r="A790" t="s">
        <v>772</v>
      </c>
      <c r="B790" t="str">
        <f>HYPERLINK("が/がい　咳嗽　1220　鍼灸資生経　王執中_ページ_2.jpg")</f>
        <v>が/がい　咳嗽　1220　鍼灸資生経　王執中_ページ_2.jpg</v>
      </c>
    </row>
    <row r="791" spans="1:2" x14ac:dyDescent="0.15">
      <c r="A791" t="s">
        <v>773</v>
      </c>
      <c r="B791" t="str">
        <f>HYPERLINK("が/がい　咳嗽　1537　鍼灸聚英　明・高武_ページ_1.jpg")</f>
        <v>が/がい　咳嗽　1537　鍼灸聚英　明・高武_ページ_1.jpg</v>
      </c>
    </row>
    <row r="792" spans="1:2" x14ac:dyDescent="0.15">
      <c r="A792" t="s">
        <v>774</v>
      </c>
      <c r="B792" t="str">
        <f>HYPERLINK("が/がい　咳嗽　1537　鍼灸聚英　明・高武_ページ_2.jpg")</f>
        <v>が/がい　咳嗽　1537　鍼灸聚英　明・高武_ページ_2.jpg</v>
      </c>
    </row>
    <row r="793" spans="1:2" x14ac:dyDescent="0.15">
      <c r="A793" t="s">
        <v>775</v>
      </c>
      <c r="B793" t="str">
        <f>HYPERLINK("が/がい　咳嗽　1563　鍼灸集要　曲直瀬道三.jpg")</f>
        <v>が/がい　咳嗽　1563　鍼灸集要　曲直瀬道三.jpg</v>
      </c>
    </row>
    <row r="794" spans="1:2" x14ac:dyDescent="0.15">
      <c r="A794" t="s">
        <v>776</v>
      </c>
      <c r="B794" t="str">
        <f>HYPERLINK("が/がい　咳嗽　1574　兪穴参伍的法　秦宗巴.jpg")</f>
        <v>が/がい　咳嗽　1574　兪穴参伍的法　秦宗巴.jpg</v>
      </c>
    </row>
    <row r="795" spans="1:2" x14ac:dyDescent="0.15">
      <c r="A795" t="s">
        <v>777</v>
      </c>
      <c r="B795" t="str">
        <f>HYPERLINK("が/がい　咳嗽　1607　扁鵲新流鍼書　越齋寿閑.jpg")</f>
        <v>が/がい　咳嗽　1607　扁鵲新流鍼書　越齋寿閑.jpg</v>
      </c>
    </row>
    <row r="796" spans="1:2" x14ac:dyDescent="0.15">
      <c r="A796" t="s">
        <v>778</v>
      </c>
      <c r="B796" t="str">
        <f>HYPERLINK("が/がい　咳嗽　1613　古今集鍼法　長生庵了味か.jpg")</f>
        <v>が/がい　咳嗽　1613　古今集鍼法　長生庵了味か.jpg</v>
      </c>
    </row>
    <row r="797" spans="1:2" x14ac:dyDescent="0.15">
      <c r="A797" t="s">
        <v>779</v>
      </c>
      <c r="B797" t="str">
        <f>HYPERLINK("が/がい　咳嗽　1669　鍼灸枢要　山本玄通_ページ_1.jpg")</f>
        <v>が/がい　咳嗽　1669　鍼灸枢要　山本玄通_ページ_1.jpg</v>
      </c>
    </row>
    <row r="798" spans="1:2" x14ac:dyDescent="0.15">
      <c r="A798" t="s">
        <v>780</v>
      </c>
      <c r="B798" t="str">
        <f>HYPERLINK("が/がい　咳嗽　1669　鍼灸枢要　山本玄通_ページ_2.jpg")</f>
        <v>が/がい　咳嗽　1669　鍼灸枢要　山本玄通_ページ_2.jpg</v>
      </c>
    </row>
    <row r="799" spans="1:2" x14ac:dyDescent="0.15">
      <c r="A799" t="s">
        <v>781</v>
      </c>
      <c r="B799" t="str">
        <f>HYPERLINK("が/がい　咳嗽　1669　鍼灸枢要　山本玄通_ページ_3.jpg")</f>
        <v>が/がい　咳嗽　1669　鍼灸枢要　山本玄通_ページ_3.jpg</v>
      </c>
    </row>
    <row r="800" spans="1:2" x14ac:dyDescent="0.15">
      <c r="A800" t="s">
        <v>782</v>
      </c>
      <c r="B800" t="str">
        <f>HYPERLINK("が/がい　咳嗽　1669　鍼灸枢要　山本玄通_ページ_4.jpg")</f>
        <v>が/がい　咳嗽　1669　鍼灸枢要　山本玄通_ページ_4.jpg</v>
      </c>
    </row>
    <row r="801" spans="1:2" x14ac:dyDescent="0.15">
      <c r="A801" t="s">
        <v>783</v>
      </c>
      <c r="B801" t="str">
        <f>HYPERLINK("が/がい　咳嗽　1669　鍼灸枢要　山本玄通_ページ_5.jpg")</f>
        <v>が/がい　咳嗽　1669　鍼灸枢要　山本玄通_ページ_5.jpg</v>
      </c>
    </row>
    <row r="802" spans="1:2" x14ac:dyDescent="0.15">
      <c r="A802" t="s">
        <v>784</v>
      </c>
      <c r="B802" t="str">
        <f>HYPERLINK("が/がい　咳嗽　1669　鍼灸枢要　山本玄通_ページ_6.jpg")</f>
        <v>が/がい　咳嗽　1669　鍼灸枢要　山本玄通_ページ_6.jpg</v>
      </c>
    </row>
    <row r="803" spans="1:2" x14ac:dyDescent="0.15">
      <c r="A803" t="s">
        <v>785</v>
      </c>
      <c r="B803" t="str">
        <f>HYPERLINK("が/がい　咳嗽　1669　鍼灸枢要　山本玄通_ページ_7.jpg")</f>
        <v>が/がい　咳嗽　1669　鍼灸枢要　山本玄通_ページ_7.jpg</v>
      </c>
    </row>
    <row r="804" spans="1:2" x14ac:dyDescent="0.15">
      <c r="A804" t="s">
        <v>786</v>
      </c>
      <c r="B804" t="str">
        <f>HYPERLINK("が/がい　咳嗽　1669　鍼灸枢要　山本玄通_ページ_8.jpg")</f>
        <v>が/がい　咳嗽　1669　鍼灸枢要　山本玄通_ページ_8.jpg</v>
      </c>
    </row>
    <row r="805" spans="1:2" x14ac:dyDescent="0.15">
      <c r="A805" t="s">
        <v>787</v>
      </c>
      <c r="B805" t="str">
        <f>HYPERLINK("が/がい　咳嗽　1669　鍼灸枢要　山本玄通_ページ_9.jpg")</f>
        <v>が/がい　咳嗽　1669　鍼灸枢要　山本玄通_ページ_9.jpg</v>
      </c>
    </row>
    <row r="806" spans="1:2" x14ac:dyDescent="0.15">
      <c r="A806" t="s">
        <v>788</v>
      </c>
      <c r="B806" t="str">
        <f>HYPERLINK("が/がい　咳嗽　1679　鍼法奇貨　渡辺東伯_ページ_1.jpg")</f>
        <v>が/がい　咳嗽　1679　鍼法奇貨　渡辺東伯_ページ_1.jpg</v>
      </c>
    </row>
    <row r="807" spans="1:2" x14ac:dyDescent="0.15">
      <c r="A807" t="s">
        <v>789</v>
      </c>
      <c r="B807" t="str">
        <f>HYPERLINK("が/がい　咳嗽　1679　鍼法奇貨　渡辺東伯_ページ_2.jpg")</f>
        <v>が/がい　咳嗽　1679　鍼法奇貨　渡辺東伯_ページ_2.jpg</v>
      </c>
    </row>
    <row r="808" spans="1:2" x14ac:dyDescent="0.15">
      <c r="A808" t="s">
        <v>790</v>
      </c>
      <c r="B808" t="str">
        <f>HYPERLINK("が/がい　咳嗽　1679　鍼法奇貨　渡辺東伯_ページ_3.jpg")</f>
        <v>が/がい　咳嗽　1679　鍼法奇貨　渡辺東伯_ページ_3.jpg</v>
      </c>
    </row>
    <row r="809" spans="1:2" x14ac:dyDescent="0.15">
      <c r="A809" t="s">
        <v>791</v>
      </c>
      <c r="B809" t="str">
        <f>HYPERLINK("が/がい　咳嗽　1680　鍼灸抜萃　著者未詳.jpg")</f>
        <v>が/がい　咳嗽　1680　鍼灸抜萃　著者未詳.jpg</v>
      </c>
    </row>
    <row r="810" spans="1:2" x14ac:dyDescent="0.15">
      <c r="A810" t="s">
        <v>792</v>
      </c>
      <c r="B810" t="str">
        <f>HYPERLINK("が/がい　咳嗽　1693　鍼灸要歌集　安井昌玄_ページ_1.jpg")</f>
        <v>が/がい　咳嗽　1693　鍼灸要歌集　安井昌玄_ページ_1.jpg</v>
      </c>
    </row>
    <row r="811" spans="1:2" x14ac:dyDescent="0.15">
      <c r="A811" t="s">
        <v>793</v>
      </c>
      <c r="B811" t="str">
        <f>HYPERLINK("が/がい　咳嗽　1693　鍼灸要歌集　安井昌玄_ページ_2.jpg")</f>
        <v>が/がい　咳嗽　1693　鍼灸要歌集　安井昌玄_ページ_2.jpg</v>
      </c>
    </row>
    <row r="812" spans="1:2" x14ac:dyDescent="0.15">
      <c r="A812" t="s">
        <v>794</v>
      </c>
      <c r="B812" t="str">
        <f>HYPERLINK("が/がい　咳嗽　1694　すわふきの事　療治之大概集　杉山和一.jpg")</f>
        <v>が/がい　咳嗽　1694　すわふきの事　療治之大概集　杉山和一.jpg</v>
      </c>
    </row>
    <row r="813" spans="1:2" x14ac:dyDescent="0.15">
      <c r="A813" t="s">
        <v>795</v>
      </c>
      <c r="B813" t="str">
        <f>HYPERLINK("が/がい　咳嗽　1694　小児　すわふきの事　療治之大概集　杉山和一.jpg")</f>
        <v>が/がい　咳嗽　1694　小児　すわふきの事　療治之大概集　杉山和一.jpg</v>
      </c>
    </row>
    <row r="814" spans="1:2" x14ac:dyDescent="0.15">
      <c r="A814" t="s">
        <v>796</v>
      </c>
      <c r="B814" t="str">
        <f>HYPERLINK("が/がい　咳嗽　1694　選鍼三要集　杉山和一.jpg")</f>
        <v>が/がい　咳嗽　1694　選鍼三要集　杉山和一.jpg</v>
      </c>
    </row>
    <row r="815" spans="1:2" x14ac:dyDescent="0.15">
      <c r="A815" t="s">
        <v>797</v>
      </c>
      <c r="B815" t="str">
        <f>HYPERLINK("が/がい　咳嗽　1694　鍼灸そかい集　高津敬節.jpg")</f>
        <v>が/がい　咳嗽　1694　鍼灸そかい集　高津敬節.jpg</v>
      </c>
    </row>
    <row r="816" spans="1:2" x14ac:dyDescent="0.15">
      <c r="A816" t="s">
        <v>798</v>
      </c>
      <c r="B816" t="str">
        <f>HYPERLINK("が/がい　咳嗽　1696　広益鍼灸抜萃　著者未詳.jpg")</f>
        <v>が/がい　咳嗽　1696　広益鍼灸抜萃　著者未詳.jpg</v>
      </c>
    </row>
    <row r="817" spans="1:2" x14ac:dyDescent="0.15">
      <c r="A817" t="s">
        <v>799</v>
      </c>
      <c r="B817" t="str">
        <f>HYPERLINK("が/がい　咳嗽　1698　鍼灸抜粋大成　岡本一抱.jpg")</f>
        <v>が/がい　咳嗽　1698　鍼灸抜粋大成　岡本一抱.jpg</v>
      </c>
    </row>
    <row r="818" spans="1:2" x14ac:dyDescent="0.15">
      <c r="A818" t="s">
        <v>800</v>
      </c>
      <c r="B818" t="str">
        <f>HYPERLINK("が/がい　咳嗽　1703　鍼灸阿是要穴　岡本一抱.jpg")</f>
        <v>が/がい　咳嗽　1703　鍼灸阿是要穴　岡本一抱.jpg</v>
      </c>
    </row>
    <row r="819" spans="1:2" x14ac:dyDescent="0.15">
      <c r="A819" t="s">
        <v>801</v>
      </c>
      <c r="B819" t="str">
        <f>HYPERLINK("が/がい　咳嗽　1703　鍼灸阿是要穴　岡本一抱_ページ_1.jpg")</f>
        <v>が/がい　咳嗽　1703　鍼灸阿是要穴　岡本一抱_ページ_1.jpg</v>
      </c>
    </row>
    <row r="820" spans="1:2" x14ac:dyDescent="0.15">
      <c r="A820" t="s">
        <v>802</v>
      </c>
      <c r="B820" t="str">
        <f>HYPERLINK("が/がい　咳嗽　1703　鍼灸阿是要穴　岡本一抱_ページ_2.jpg")</f>
        <v>が/がい　咳嗽　1703　鍼灸阿是要穴　岡本一抱_ページ_2.jpg</v>
      </c>
    </row>
    <row r="821" spans="1:2" x14ac:dyDescent="0.15">
      <c r="A821" t="s">
        <v>803</v>
      </c>
      <c r="B821" t="str">
        <f>HYPERLINK("が/がい　咳嗽　1718　しはぶき　せき　たぐる　鍼灸重宝記　本郷正豊.jpg")</f>
        <v>が/がい　咳嗽　1718　しはぶき　せき　たぐる　鍼灸重宝記　本郷正豊.jpg</v>
      </c>
    </row>
    <row r="822" spans="1:2" x14ac:dyDescent="0.15">
      <c r="A822" t="s">
        <v>804</v>
      </c>
      <c r="B822" t="str">
        <f>HYPERLINK("が/がい　咳嗽　1773　鍼灸手引草　大簡室主人_ページ_1.jpg")</f>
        <v>が/がい　咳嗽　1773　鍼灸手引草　大簡室主人_ページ_1.jpg</v>
      </c>
    </row>
    <row r="823" spans="1:2" x14ac:dyDescent="0.15">
      <c r="A823" t="s">
        <v>805</v>
      </c>
      <c r="B823" t="str">
        <f>HYPERLINK("が/がい　咳嗽　1773　鍼灸手引草　大簡室主人_ページ_2.jpg")</f>
        <v>が/がい　咳嗽　1773　鍼灸手引草　大簡室主人_ページ_2.jpg</v>
      </c>
    </row>
    <row r="824" spans="1:2" x14ac:dyDescent="0.15">
      <c r="A824" t="s">
        <v>806</v>
      </c>
      <c r="B824" t="str">
        <f>HYPERLINK("が/がい　咳嗽　1780　せき・しわぶき　鍼灸極秘伝　木村太沖.jpg")</f>
        <v>が/がい　咳嗽　1780　せき・しわぶき　鍼灸極秘伝　木村太沖.jpg</v>
      </c>
    </row>
    <row r="825" spans="1:2" x14ac:dyDescent="0.15">
      <c r="A825" t="s">
        <v>807</v>
      </c>
      <c r="B825" t="str">
        <f>HYPERLINK("が/がい　咳嗽　1785　鍼書　本城義軒.jpg")</f>
        <v>が/がい　咳嗽　1785　鍼書　本城義軒.jpg</v>
      </c>
    </row>
    <row r="826" spans="1:2" x14ac:dyDescent="0.15">
      <c r="A826" t="s">
        <v>808</v>
      </c>
      <c r="B826" t="str">
        <f>HYPERLINK("が/がい　咳嗽　1792　鍼法要集　源長起_ページ_1.jpg")</f>
        <v>が/がい　咳嗽　1792　鍼法要集　源長起_ページ_1.jpg</v>
      </c>
    </row>
    <row r="827" spans="1:2" x14ac:dyDescent="0.15">
      <c r="A827" t="s">
        <v>809</v>
      </c>
      <c r="B827" t="str">
        <f>HYPERLINK("が/がい　咳嗽　1792　鍼法要集　源長起_ページ_2.jpg")</f>
        <v>が/がい　咳嗽　1792　鍼法要集　源長起_ページ_2.jpg</v>
      </c>
    </row>
    <row r="828" spans="1:2" x14ac:dyDescent="0.15">
      <c r="A828" t="s">
        <v>810</v>
      </c>
      <c r="B828" t="str">
        <f>HYPERLINK("が/がい　咳嗽　1794　杉山流鍼術　島浦和田一.jpg")</f>
        <v>が/がい　咳嗽　1794　杉山流鍼術　島浦和田一.jpg</v>
      </c>
    </row>
    <row r="829" spans="1:2" x14ac:dyDescent="0.15">
      <c r="A829" t="s">
        <v>811</v>
      </c>
      <c r="B829" t="str">
        <f>HYPERLINK("が/がい　咳嗽　1800　鍼灸備要　小坂元祐_ページ_1.jpg")</f>
        <v>が/がい　咳嗽　1800　鍼灸備要　小坂元祐_ページ_1.jpg</v>
      </c>
    </row>
    <row r="830" spans="1:2" x14ac:dyDescent="0.15">
      <c r="A830" t="s">
        <v>812</v>
      </c>
      <c r="B830" t="str">
        <f>HYPERLINK("が/がい　咳嗽　1800　鍼灸備要　小坂元祐_ページ_2.jpg")</f>
        <v>が/がい　咳嗽　1800　鍼灸備要　小坂元祐_ページ_2.jpg</v>
      </c>
    </row>
    <row r="831" spans="1:2" x14ac:dyDescent="0.15">
      <c r="A831" t="s">
        <v>813</v>
      </c>
      <c r="B831" t="str">
        <f>HYPERLINK("が/がい　咳嗽　1800　鍼灸備要　小坂元祐_ページ_3.jpg")</f>
        <v>が/がい　咳嗽　1800　鍼灸備要　小坂元祐_ページ_3.jpg</v>
      </c>
    </row>
    <row r="832" spans="1:2" x14ac:dyDescent="0.15">
      <c r="A832" t="s">
        <v>814</v>
      </c>
      <c r="B832" t="str">
        <f>HYPERLINK("が/がい　咳嗽　1807　吼哮　続名家灸選　平井庸信_ページ_1.jpg")</f>
        <v>が/がい　咳嗽　1807　吼哮　続名家灸選　平井庸信_ページ_1.jpg</v>
      </c>
    </row>
    <row r="833" spans="1:2" x14ac:dyDescent="0.15">
      <c r="A833" t="s">
        <v>815</v>
      </c>
      <c r="B833" t="str">
        <f>HYPERLINK("が/がい　咳嗽　1807　吼哮　続名家灸選　平井庸信_ページ_2.jpg")</f>
        <v>が/がい　咳嗽　1807　吼哮　続名家灸選　平井庸信_ページ_2.jpg</v>
      </c>
    </row>
    <row r="834" spans="1:2" x14ac:dyDescent="0.15">
      <c r="A834" t="s">
        <v>816</v>
      </c>
      <c r="B834" t="str">
        <f>HYPERLINK("が/がい　咳嗽　1813　名家灸選三編　平井庸信_ページ_1.jpg")</f>
        <v>が/がい　咳嗽　1813　名家灸選三編　平井庸信_ページ_1.jpg</v>
      </c>
    </row>
    <row r="835" spans="1:2" x14ac:dyDescent="0.15">
      <c r="A835" t="s">
        <v>817</v>
      </c>
      <c r="B835" t="str">
        <f>HYPERLINK("が/がい　咳嗽　1813　名家灸選三編　平井庸信_ページ_2.jpg")</f>
        <v>が/がい　咳嗽　1813　名家灸選三編　平井庸信_ページ_2.jpg</v>
      </c>
    </row>
    <row r="836" spans="1:2" x14ac:dyDescent="0.15">
      <c r="A836" t="s">
        <v>818</v>
      </c>
      <c r="B836" t="str">
        <f>HYPERLINK("が/がい　咳嗽　1912年（大正01）　鍼灸手引草　久木田七郎.jpg")</f>
        <v>が/がい　咳嗽　1912年（大正01）　鍼灸手引草　久木田七郎.jpg</v>
      </c>
    </row>
    <row r="837" spans="1:2" x14ac:dyDescent="0.15">
      <c r="A837" t="s">
        <v>819</v>
      </c>
      <c r="B837" t="str">
        <f>HYPERLINK("が/がい　咳嗽　成書年未詳　灸穴集　著者未詳_ページ_1.jpg")</f>
        <v>が/がい　咳嗽　成書年未詳　灸穴集　著者未詳_ページ_1.jpg</v>
      </c>
    </row>
    <row r="838" spans="1:2" x14ac:dyDescent="0.15">
      <c r="A838" t="s">
        <v>820</v>
      </c>
      <c r="B838" t="str">
        <f>HYPERLINK("が/がい　咳嗽　成書年未詳　灸穴集　著者未詳_ページ_2.jpg")</f>
        <v>が/がい　咳嗽　成書年未詳　灸穴集　著者未詳_ページ_2.jpg</v>
      </c>
    </row>
    <row r="839" spans="1:2" x14ac:dyDescent="0.15">
      <c r="A839" t="s">
        <v>821</v>
      </c>
      <c r="B839" t="str">
        <f>HYPERLINK("が/がい　咳嗽　成書年未詳　灸穴集　著者未詳_ページ_3.jpg")</f>
        <v>が/がい　咳嗽　成書年未詳　灸穴集　著者未詳_ページ_3.jpg</v>
      </c>
    </row>
    <row r="840" spans="1:2" x14ac:dyDescent="0.15">
      <c r="A840" t="s">
        <v>822</v>
      </c>
      <c r="B840" t="str">
        <f>HYPERLINK("が/がい　咳嗽　成書年未詳　灸穴集　著者未詳_ページ_4.jpg")</f>
        <v>が/がい　咳嗽　成書年未詳　灸穴集　著者未詳_ページ_4.jpg</v>
      </c>
    </row>
    <row r="841" spans="1:2" x14ac:dyDescent="0.15">
      <c r="A841" t="s">
        <v>823</v>
      </c>
      <c r="B841" t="str">
        <f>HYPERLINK("が/がい　咳嗽　成書年未詳　灸穴集　著者未詳_ページ_5.jpg")</f>
        <v>が/がい　咳嗽　成書年未詳　灸穴集　著者未詳_ページ_5.jpg</v>
      </c>
    </row>
    <row r="842" spans="1:2" x14ac:dyDescent="0.15">
      <c r="A842" t="s">
        <v>824</v>
      </c>
      <c r="B842" t="str">
        <f>HYPERLINK("が/がい　咳嗽　成書年未詳　灸穴集　著者未詳_ページ_6.jpg")</f>
        <v>が/がい　咳嗽　成書年未詳　灸穴集　著者未詳_ページ_6.jpg</v>
      </c>
    </row>
    <row r="843" spans="1:2" x14ac:dyDescent="0.15">
      <c r="A843" t="s">
        <v>825</v>
      </c>
      <c r="B843" t="str">
        <f>HYPERLINK("が/がい　咳嗽　成書年未詳　経穴図解　著者未詳.jpg")</f>
        <v>が/がい　咳嗽　成書年未詳　経穴図解　著者未詳.jpg</v>
      </c>
    </row>
    <row r="844" spans="1:2" x14ac:dyDescent="0.15">
      <c r="A844" t="s">
        <v>826</v>
      </c>
      <c r="B844" t="str">
        <f>HYPERLINK("が/がい　咳嗽　玉機微義針灸証治　1537　鍼灸聚英　明・高武_ページ_1.jpg")</f>
        <v>が/がい　咳嗽　玉機微義針灸証治　1537　鍼灸聚英　明・高武_ページ_1.jpg</v>
      </c>
    </row>
    <row r="845" spans="1:2" x14ac:dyDescent="0.15">
      <c r="A845" t="s">
        <v>827</v>
      </c>
      <c r="B845" t="str">
        <f>HYPERLINK("が/がい　咳嗽　玉機微義針灸証治　1537　鍼灸聚英　明・高武_ページ_2.jpg")</f>
        <v>が/がい　咳嗽　玉機微義針灸証治　1537　鍼灸聚英　明・高武_ページ_2.jpg</v>
      </c>
    </row>
    <row r="846" spans="1:2" x14ac:dyDescent="0.15">
      <c r="A846" t="s">
        <v>828</v>
      </c>
      <c r="B846" t="str">
        <f>HYPERLINK("が/がい　咳嗽声破（こえやぶる）　しやがらごへ　咳嗽嗄嘶（せいさ）　1887（明治20）　鍼灸備要　青山道醇.jpg")</f>
        <v>が/がい　咳嗽声破（こえやぶる）　しやがらごへ　咳嗽嗄嘶（せいさ）　1887（明治20）　鍼灸備要　青山道醇.jpg</v>
      </c>
    </row>
    <row r="847" spans="1:2" x14ac:dyDescent="0.15">
      <c r="A847" t="s">
        <v>829</v>
      </c>
      <c r="B847" t="str">
        <f>HYPERLINK("が/がい　咳嗽腰痛　附黄疸　1329　扁鵲神応鍼灸玉龍経　元・王国瑞.jpg")</f>
        <v>が/がい　咳嗽腰痛　附黄疸　1329　扁鵲神応鍼灸玉龍経　元・王国瑞.jpg</v>
      </c>
    </row>
    <row r="848" spans="1:2" x14ac:dyDescent="0.15">
      <c r="A848" t="s">
        <v>830</v>
      </c>
      <c r="B848" t="str">
        <f>HYPERLINK("が/がい　咳嗽鼻流清涕　1329　扁鵲神応鍼灸玉龍経　元・王国瑞.jpg")</f>
        <v>が/がい　咳嗽鼻流清涕　1329　扁鵲神応鍼灸玉龍経　元・王国瑞.jpg</v>
      </c>
    </row>
    <row r="849" spans="1:2" x14ac:dyDescent="0.15">
      <c r="A849" t="s">
        <v>831</v>
      </c>
      <c r="B849" t="str">
        <f>HYPERLINK("が/がい　咳嗽（がいそう）　しわぶき、又、せき　咳嗽　1887（明治20）　鍼灸備要　青山道醇.jpg")</f>
        <v>が/がい　咳嗽（がいそう）　しわぶき、又、せき　咳嗽　1887（明治20）　鍼灸備要　青山道醇.jpg</v>
      </c>
    </row>
    <row r="850" spans="1:2" x14ac:dyDescent="0.15">
      <c r="A850" t="s">
        <v>832</v>
      </c>
      <c r="B850" t="str">
        <f>HYPERLINK("が/がい　咳瀉　1767　鍼灸則　菅沼周桂_ページ_1.jpg")</f>
        <v>が/がい　咳瀉　1767　鍼灸則　菅沼周桂_ページ_1.jpg</v>
      </c>
    </row>
    <row r="851" spans="1:2" x14ac:dyDescent="0.15">
      <c r="A851" t="s">
        <v>833</v>
      </c>
      <c r="B851" t="str">
        <f>HYPERLINK("が/がい　咳瀉　1767　鍼灸則　菅沼周桂_ページ_2.jpg")</f>
        <v>が/がい　咳瀉　1767　鍼灸則　菅沼周桂_ページ_2.jpg</v>
      </c>
    </row>
    <row r="852" spans="1:2" x14ac:dyDescent="0.15">
      <c r="A852" t="s">
        <v>834</v>
      </c>
      <c r="B852" t="str">
        <f>HYPERLINK("が/がい　咳瘧　1694　療治之大概集　杉山和一.jpg")</f>
        <v>が/がい　咳瘧　1694　療治之大概集　杉山和一.jpg</v>
      </c>
    </row>
    <row r="853" spans="1:2" x14ac:dyDescent="0.15">
      <c r="A853" t="s">
        <v>835</v>
      </c>
      <c r="B853" t="str">
        <f>HYPERLINK("が/がい　咳血　1767　鍼灸則　菅沼周桂.jpg")</f>
        <v>が/がい　咳血　1767　鍼灸則　菅沼周桂.jpg</v>
      </c>
    </row>
    <row r="854" spans="1:2" x14ac:dyDescent="0.15">
      <c r="A854" t="s">
        <v>836</v>
      </c>
      <c r="B854" t="str">
        <f>HYPERLINK("が/がい　咳血　1794　杉山流鍼術　島浦和田一.jpg")</f>
        <v>が/がい　咳血　1794　杉山流鍼術　島浦和田一.jpg</v>
      </c>
    </row>
    <row r="855" spans="1:2" x14ac:dyDescent="0.15">
      <c r="A855" t="s">
        <v>837</v>
      </c>
      <c r="B855" t="str">
        <f>HYPERLINK("が/がい　咳血　せきに血のまじる人　1780　鍼灸極秘伝　木村太沖.jpg")</f>
        <v>が/がい　咳血　せきに血のまじる人　1780　鍼灸極秘伝　木村太沖.jpg</v>
      </c>
    </row>
    <row r="856" spans="1:2" x14ac:dyDescent="0.15">
      <c r="A856" t="s">
        <v>838</v>
      </c>
      <c r="B856" t="str">
        <f>HYPERLINK("が/がい　咳血（がいけつ）　咳につれて痰血の出る病　気管支出血　1887（明治20）　鍼灸備要　青山道醇.jpg")</f>
        <v>が/がい　咳血（がいけつ）　咳につれて痰血の出る病　気管支出血　1887（明治20）　鍼灸備要　青山道醇.jpg</v>
      </c>
    </row>
    <row r="857" spans="1:2" x14ac:dyDescent="0.15">
      <c r="A857" t="s">
        <v>839</v>
      </c>
      <c r="B857" t="str">
        <f>HYPERLINK("が/がい　咳逆　1220　鍼灸資生経　王執中_ページ_1.jpg")</f>
        <v>が/がい　咳逆　1220　鍼灸資生経　王執中_ページ_1.jpg</v>
      </c>
    </row>
    <row r="858" spans="1:2" x14ac:dyDescent="0.15">
      <c r="A858" t="s">
        <v>840</v>
      </c>
      <c r="B858" t="str">
        <f>HYPERLINK("が/がい　咳逆　1220　鍼灸資生経　王執中_ページ_2.jpg")</f>
        <v>が/がい　咳逆　1220　鍼灸資生経　王執中_ページ_2.jpg</v>
      </c>
    </row>
    <row r="859" spans="1:2" x14ac:dyDescent="0.15">
      <c r="A859" t="s">
        <v>841</v>
      </c>
      <c r="B859" t="str">
        <f>HYPERLINK("が/がい　咳逆　1224　医説　宋・張杲_ページ_1.jpg")</f>
        <v>が/がい　咳逆　1224　医説　宋・張杲_ページ_1.jpg</v>
      </c>
    </row>
    <row r="860" spans="1:2" x14ac:dyDescent="0.15">
      <c r="A860" t="s">
        <v>842</v>
      </c>
      <c r="B860" t="str">
        <f>HYPERLINK("が/がい　咳逆　1224　医説　宋・張杲_ページ_2.jpg")</f>
        <v>が/がい　咳逆　1224　医説　宋・張杲_ページ_2.jpg</v>
      </c>
    </row>
    <row r="861" spans="1:2" x14ac:dyDescent="0.15">
      <c r="A861" t="s">
        <v>843</v>
      </c>
      <c r="B861" t="str">
        <f>HYPERLINK("が/がい　咳逆　1224　医説　宋・張杲_ページ_3.jpg")</f>
        <v>が/がい　咳逆　1224　医説　宋・張杲_ページ_3.jpg</v>
      </c>
    </row>
    <row r="862" spans="1:2" x14ac:dyDescent="0.15">
      <c r="A862" t="s">
        <v>844</v>
      </c>
      <c r="B862" t="str">
        <f>HYPERLINK("が/がい　咳逆　1537　鍼灸聚英　明・高武.jpg")</f>
        <v>が/がい　咳逆　1537　鍼灸聚英　明・高武.jpg</v>
      </c>
    </row>
    <row r="863" spans="1:2" x14ac:dyDescent="0.15">
      <c r="A863" t="s">
        <v>845</v>
      </c>
      <c r="B863" t="str">
        <f>HYPERLINK("が/がい　咳逆　1563　鍼灸集要　曲直瀬道三.jpg")</f>
        <v>が/がい　咳逆　1563　鍼灸集要　曲直瀬道三.jpg</v>
      </c>
    </row>
    <row r="864" spans="1:2" x14ac:dyDescent="0.15">
      <c r="A864" t="s">
        <v>846</v>
      </c>
      <c r="B864" t="str">
        <f>HYPERLINK("が/がい　咳逆　1594　経脈方寸秘書　曲直瀬道三.jpg")</f>
        <v>が/がい　咳逆　1594　経脈方寸秘書　曲直瀬道三.jpg</v>
      </c>
    </row>
    <row r="865" spans="1:2" x14ac:dyDescent="0.15">
      <c r="A865" t="s">
        <v>847</v>
      </c>
      <c r="B865" t="str">
        <f>HYPERLINK("が/がい　咳逆　1607　扁鵲新流鍼書　越齋寿閑_ページ_1.jpg")</f>
        <v>が/がい　咳逆　1607　扁鵲新流鍼書　越齋寿閑_ページ_1.jpg</v>
      </c>
    </row>
    <row r="866" spans="1:2" x14ac:dyDescent="0.15">
      <c r="A866" t="s">
        <v>848</v>
      </c>
      <c r="B866" t="str">
        <f>HYPERLINK("が/がい　咳逆　1607　扁鵲新流鍼書　越齋寿閑_ページ_2.jpg")</f>
        <v>が/がい　咳逆　1607　扁鵲新流鍼書　越齋寿閑_ページ_2.jpg</v>
      </c>
    </row>
    <row r="867" spans="1:2" x14ac:dyDescent="0.15">
      <c r="A867" t="s">
        <v>849</v>
      </c>
      <c r="B867" t="str">
        <f>HYPERLINK("が/がい　咳逆　1680　鍼灸抜萃　著者未詳.jpg")</f>
        <v>が/がい　咳逆　1680　鍼灸抜萃　著者未詳.jpg</v>
      </c>
    </row>
    <row r="868" spans="1:2" x14ac:dyDescent="0.15">
      <c r="A868" t="s">
        <v>850</v>
      </c>
      <c r="B868" t="str">
        <f>HYPERLINK("が/がい　咳逆　1693　鍼灸要歌集　安井昌玄_ページ_1.jpg")</f>
        <v>が/がい　咳逆　1693　鍼灸要歌集　安井昌玄_ページ_1.jpg</v>
      </c>
    </row>
    <row r="869" spans="1:2" x14ac:dyDescent="0.15">
      <c r="A869" t="s">
        <v>851</v>
      </c>
      <c r="B869" t="str">
        <f>HYPERLINK("が/がい　咳逆　1693　鍼灸要歌集　安井昌玄_ページ_2.jpg")</f>
        <v>が/がい　咳逆　1693　鍼灸要歌集　安井昌玄_ページ_2.jpg</v>
      </c>
    </row>
    <row r="870" spans="1:2" x14ac:dyDescent="0.15">
      <c r="A870" t="s">
        <v>852</v>
      </c>
      <c r="B870" t="str">
        <f>HYPERLINK("が/がい　咳逆　1696　広益鍼灸抜萃　著者未詳.jpg")</f>
        <v>が/がい　咳逆　1696　広益鍼灸抜萃　著者未詳.jpg</v>
      </c>
    </row>
    <row r="871" spans="1:2" x14ac:dyDescent="0.15">
      <c r="A871" t="s">
        <v>853</v>
      </c>
      <c r="B871" t="str">
        <f>HYPERLINK("が/がい　咳逆　1698　鍼灸抜粋大成　岡本一抱_ページ_1.jpg")</f>
        <v>が/がい　咳逆　1698　鍼灸抜粋大成　岡本一抱_ページ_1.jpg</v>
      </c>
    </row>
    <row r="872" spans="1:2" x14ac:dyDescent="0.15">
      <c r="A872" t="s">
        <v>854</v>
      </c>
      <c r="B872" t="str">
        <f>HYPERLINK("が/がい　咳逆　1698　鍼灸抜粋大成　岡本一抱_ページ_2.jpg")</f>
        <v>が/がい　咳逆　1698　鍼灸抜粋大成　岡本一抱_ページ_2.jpg</v>
      </c>
    </row>
    <row r="873" spans="1:2" x14ac:dyDescent="0.15">
      <c r="A873" t="s">
        <v>855</v>
      </c>
      <c r="B873" t="str">
        <f>HYPERLINK("が/がい　咳逆　1703　鍼灸阿是要穴　岡本一抱_ページ_1.jpg")</f>
        <v>が/がい　咳逆　1703　鍼灸阿是要穴　岡本一抱_ページ_1.jpg</v>
      </c>
    </row>
    <row r="874" spans="1:2" x14ac:dyDescent="0.15">
      <c r="A874" t="s">
        <v>856</v>
      </c>
      <c r="B874" t="str">
        <f>HYPERLINK("が/がい　咳逆　1703　鍼灸阿是要穴　岡本一抱_ページ_2.jpg")</f>
        <v>が/がい　咳逆　1703　鍼灸阿是要穴　岡本一抱_ページ_2.jpg</v>
      </c>
    </row>
    <row r="875" spans="1:2" x14ac:dyDescent="0.15">
      <c r="A875" t="s">
        <v>857</v>
      </c>
      <c r="B875" t="str">
        <f>HYPERLINK("が/がい　咳逆　1767　鍼灸則　菅沼周桂.jpg")</f>
        <v>が/がい　咳逆　1767　鍼灸則　菅沼周桂.jpg</v>
      </c>
    </row>
    <row r="876" spans="1:2" x14ac:dyDescent="0.15">
      <c r="A876" t="s">
        <v>858</v>
      </c>
      <c r="B876" t="str">
        <f>HYPERLINK("が/がい　咳逆　1773　鍼灸手引草　大簡室主人.jpg")</f>
        <v>が/がい　咳逆　1773　鍼灸手引草　大簡室主人.jpg</v>
      </c>
    </row>
    <row r="877" spans="1:2" x14ac:dyDescent="0.15">
      <c r="A877" t="s">
        <v>859</v>
      </c>
      <c r="B877" t="str">
        <f>HYPERLINK("が/がい　咳逆　1792　鍼法要集　源長起_ページ_1.jpg")</f>
        <v>が/がい　咳逆　1792　鍼法要集　源長起_ページ_1.jpg</v>
      </c>
    </row>
    <row r="878" spans="1:2" x14ac:dyDescent="0.15">
      <c r="A878" t="s">
        <v>860</v>
      </c>
      <c r="B878" t="str">
        <f>HYPERLINK("が/がい　咳逆　1792　鍼法要集　源長起_ページ_2.jpg")</f>
        <v>が/がい　咳逆　1792　鍼法要集　源長起_ページ_2.jpg</v>
      </c>
    </row>
    <row r="879" spans="1:2" x14ac:dyDescent="0.15">
      <c r="A879" t="s">
        <v>861</v>
      </c>
      <c r="B879" t="str">
        <f>HYPERLINK("が/がい　咳逆　一曰［口＋卮］逆　しやくり　1718　鍼灸重宝記　本郷正豊.jpg")</f>
        <v>が/がい　咳逆　一曰［口＋卮］逆　しやくり　1718　鍼灸重宝記　本郷正豊.jpg</v>
      </c>
    </row>
    <row r="880" spans="1:2" x14ac:dyDescent="0.15">
      <c r="A880" t="s">
        <v>862</v>
      </c>
      <c r="B880" t="str">
        <f>HYPERLINK("が/がい　咳逆　玉機微義針灸証治　1537　鍼灸聚英　明・高武.jpg")</f>
        <v>が/がい　咳逆　玉機微義針灸証治　1537　鍼灸聚英　明・高武.jpg</v>
      </c>
    </row>
    <row r="881" spans="1:2" x14ac:dyDescent="0.15">
      <c r="A881" t="s">
        <v>863</v>
      </c>
      <c r="B881" t="str">
        <f>HYPERLINK("が/がい　咳逆上気　0300　●邪在肺五臓六腑受病発咳逆上気　第三　鍼灸甲乙経　皇甫謐_ページ_1.jpg")</f>
        <v>が/がい　咳逆上気　0300　●邪在肺五臓六腑受病発咳逆上気　第三　鍼灸甲乙経　皇甫謐_ページ_1.jpg</v>
      </c>
    </row>
    <row r="882" spans="1:2" x14ac:dyDescent="0.15">
      <c r="A882" t="s">
        <v>864</v>
      </c>
      <c r="B882" t="str">
        <f>HYPERLINK("が/がい　咳逆上気　0300　●邪在肺五臓六腑受病発咳逆上気　第三　鍼灸甲乙経　皇甫謐_ページ_2.jpg")</f>
        <v>が/がい　咳逆上気　0300　●邪在肺五臓六腑受病発咳逆上気　第三　鍼灸甲乙経　皇甫謐_ページ_2.jpg</v>
      </c>
    </row>
    <row r="883" spans="1:2" x14ac:dyDescent="0.15">
      <c r="A883" t="s">
        <v>865</v>
      </c>
      <c r="B883" t="str">
        <f>HYPERLINK("が/がい　咳逆上気　0300　●邪在肺五臓六腑受病発咳逆上気　第三　鍼灸甲乙経　皇甫謐_ページ_3.jpg")</f>
        <v>が/がい　咳逆上気　0300　●邪在肺五臓六腑受病発咳逆上気　第三　鍼灸甲乙経　皇甫謐_ページ_3.jpg</v>
      </c>
    </row>
    <row r="884" spans="1:2" x14ac:dyDescent="0.15">
      <c r="A884" t="s">
        <v>866</v>
      </c>
      <c r="B884" t="str">
        <f>HYPERLINK("が/がい　咳逆上気　0300　●邪在肺五臓六腑受病発咳逆上気　第三　鍼灸甲乙経　皇甫謐_ページ_4.jpg")</f>
        <v>が/がい　咳逆上気　0300　●邪在肺五臓六腑受病発咳逆上気　第三　鍼灸甲乙経　皇甫謐_ページ_4.jpg</v>
      </c>
    </row>
    <row r="885" spans="1:2" x14ac:dyDescent="0.15">
      <c r="A885" t="s">
        <v>867</v>
      </c>
      <c r="B885" t="str">
        <f>HYPERLINK("が/がい　咳逆上気　0650　千金方　孫思ばく_ページ_1.jpg")</f>
        <v>が/がい　咳逆上気　0650　千金方　孫思ばく_ページ_1.jpg</v>
      </c>
    </row>
    <row r="886" spans="1:2" x14ac:dyDescent="0.15">
      <c r="A886" t="s">
        <v>868</v>
      </c>
      <c r="B886" t="str">
        <f>HYPERLINK("が/がい　咳逆上気　0650　千金方　孫思ばく_ページ_2.jpg")</f>
        <v>が/がい　咳逆上気　0650　千金方　孫思ばく_ページ_2.jpg</v>
      </c>
    </row>
    <row r="887" spans="1:2" x14ac:dyDescent="0.15">
      <c r="A887" t="s">
        <v>869</v>
      </c>
      <c r="B887" t="str">
        <f>HYPERLINK("が/がい　咳逆上気　0650　千金方　孫思ばく_ページ_3.jpg")</f>
        <v>が/がい　咳逆上気　0650　千金方　孫思ばく_ページ_3.jpg</v>
      </c>
    </row>
    <row r="888" spans="1:2" x14ac:dyDescent="0.15">
      <c r="A888" t="s">
        <v>870</v>
      </c>
      <c r="B888" t="str">
        <f>HYPERLINK("が/がい　咳逆上気　1220　鍼灸資生経　王執中_ページ_1.jpg")</f>
        <v>が/がい　咳逆上気　1220　鍼灸資生経　王執中_ページ_1.jpg</v>
      </c>
    </row>
    <row r="889" spans="1:2" x14ac:dyDescent="0.15">
      <c r="A889" t="s">
        <v>871</v>
      </c>
      <c r="B889" t="str">
        <f>HYPERLINK("が/がい　咳逆上気　1220　鍼灸資生経　王執中_ページ_2.jpg")</f>
        <v>が/がい　咳逆上気　1220　鍼灸資生経　王執中_ページ_2.jpg</v>
      </c>
    </row>
    <row r="890" spans="1:2" x14ac:dyDescent="0.15">
      <c r="A890" t="s">
        <v>872</v>
      </c>
      <c r="B890" t="str">
        <f>HYPERLINK("が/がい　咳逆上気　1220　鍼灸資生経　王執中_ページ_3.jpg")</f>
        <v>が/がい　咳逆上気　1220　鍼灸資生経　王執中_ページ_3.jpg</v>
      </c>
    </row>
    <row r="891" spans="1:2" x14ac:dyDescent="0.15">
      <c r="A891" t="s">
        <v>873</v>
      </c>
      <c r="B891" t="str">
        <f>HYPERLINK("が/がい　諸咳喘嘔えつ気逆　1624　類経図翼　明・張介賓_ページ_1.jpg")</f>
        <v>が/がい　諸咳喘嘔えつ気逆　1624　類経図翼　明・張介賓_ページ_1.jpg</v>
      </c>
    </row>
    <row r="892" spans="1:2" x14ac:dyDescent="0.15">
      <c r="A892" t="s">
        <v>874</v>
      </c>
      <c r="B892" t="str">
        <f>HYPERLINK("が/がい　諸咳喘嘔えつ気逆　1624　類経図翼　明・張介賓_ページ_2.jpg")</f>
        <v>が/がい　諸咳喘嘔えつ気逆　1624　類経図翼　明・張介賓_ページ_2.jpg</v>
      </c>
    </row>
    <row r="893" spans="1:2" x14ac:dyDescent="0.15">
      <c r="A893" t="s">
        <v>875</v>
      </c>
      <c r="B893" t="str">
        <f>HYPERLINK("が/がい　諸咳喘嘔えつ気逆　1624　類経図翼　明・張介賓_ページ_3.jpg")</f>
        <v>が/がい　諸咳喘嘔えつ気逆　1624　類経図翼　明・張介賓_ページ_3.jpg</v>
      </c>
    </row>
    <row r="894" spans="1:2" x14ac:dyDescent="0.15">
      <c r="A894" t="s">
        <v>876</v>
      </c>
      <c r="B894" t="str">
        <f>HYPERLINK("が/がい　諸咳喘嘔えつ気逆　1624　類経図翼　明・張介賓_ページ_4.jpg")</f>
        <v>が/がい　諸咳喘嘔えつ気逆　1624　類経図翼　明・張介賓_ページ_4.jpg</v>
      </c>
    </row>
    <row r="895" spans="1:2" x14ac:dyDescent="0.15">
      <c r="A895" t="s">
        <v>877</v>
      </c>
      <c r="B895" t="str">
        <f>HYPERLINK("が/がい　諸咳喘嘔えつ気逆　1624　類経図翼　明・張介賓_ページ_5.jpg")</f>
        <v>が/がい　諸咳喘嘔えつ気逆　1624　類経図翼　明・張介賓_ページ_5.jpg</v>
      </c>
    </row>
    <row r="896" spans="1:2" x14ac:dyDescent="0.15">
      <c r="A896" t="s">
        <v>878</v>
      </c>
      <c r="B896" t="str">
        <f>HYPERLINK("が/がい　諸咳喘嘔えつ気逆　1624　類経図翼　明・張介賓_ページ_6.jpg")</f>
        <v>が/がい　諸咳喘嘔えつ気逆　1624　類経図翼　明・張介賓_ページ_6.jpg</v>
      </c>
    </row>
    <row r="897" spans="1:2" x14ac:dyDescent="0.15">
      <c r="A897" t="s">
        <v>879</v>
      </c>
      <c r="B897" t="str">
        <f>HYPERLINK("が/がい　諸咳喘嘔えつ気逆　1624　類経図翼　明・張介賓_ページ_7.jpg")</f>
        <v>が/がい　諸咳喘嘔えつ気逆　1624　類経図翼　明・張介賓_ページ_7.jpg</v>
      </c>
    </row>
    <row r="898" spans="1:2" x14ac:dyDescent="0.15">
      <c r="A898" t="s">
        <v>880</v>
      </c>
      <c r="B898" t="str">
        <f>HYPERLINK("が/がい　諸咳喘嘔えつ気逆　1624　類経図翼　明・張介賓_ページ_8.jpg")</f>
        <v>が/がい　諸咳喘嘔えつ気逆　1624　類経図翼　明・張介賓_ページ_8.jpg</v>
      </c>
    </row>
    <row r="899" spans="1:2" x14ac:dyDescent="0.15">
      <c r="A899" t="s">
        <v>881</v>
      </c>
      <c r="B899" t="str">
        <f>HYPERLINK("が/がい　諸咳喘嘔えつ気逆　1761　挨穴捷径　杉原敦_ページ_1.jpg")</f>
        <v>が/がい　諸咳喘嘔えつ気逆　1761　挨穴捷径　杉原敦_ページ_1.jpg</v>
      </c>
    </row>
    <row r="900" spans="1:2" x14ac:dyDescent="0.15">
      <c r="A900" t="s">
        <v>882</v>
      </c>
      <c r="B900" t="str">
        <f>HYPERLINK("が/がい　諸咳喘嘔えつ気逆　1761　挨穴捷径　杉原敦_ページ_2.jpg")</f>
        <v>が/がい　諸咳喘嘔えつ気逆　1761　挨穴捷径　杉原敦_ページ_2.jpg</v>
      </c>
    </row>
    <row r="901" spans="1:2" x14ac:dyDescent="0.15">
      <c r="A901" t="s">
        <v>883</v>
      </c>
      <c r="B901" t="str">
        <f>HYPERLINK("が/がい　諸咳喘嘔えつ気逆　1761　挨穴捷径　杉原敦_ページ_3.jpg")</f>
        <v>が/がい　諸咳喘嘔えつ気逆　1761　挨穴捷径　杉原敦_ページ_3.jpg</v>
      </c>
    </row>
    <row r="902" spans="1:2" x14ac:dyDescent="0.15">
      <c r="A902" t="s">
        <v>884</v>
      </c>
      <c r="B902" t="str">
        <f>HYPERLINK("が/がい　諸咳喘嘔えつ気逆　1761　挨穴捷径　杉原敦_ページ_4.jpg")</f>
        <v>が/がい　諸咳喘嘔えつ気逆　1761　挨穴捷径　杉原敦_ページ_4.jpg</v>
      </c>
    </row>
    <row r="903" spans="1:2" x14ac:dyDescent="0.15">
      <c r="A903" t="s">
        <v>885</v>
      </c>
      <c r="B903" t="str">
        <f>HYPERLINK("が/がい　諸咳喘嘔えつ気逆　1761　挨穴捷径　杉原敦_ページ_5.jpg")</f>
        <v>が/がい　諸咳喘嘔えつ気逆　1761　挨穴捷径　杉原敦_ページ_5.jpg</v>
      </c>
    </row>
    <row r="904" spans="1:2" x14ac:dyDescent="0.15">
      <c r="A904" t="s">
        <v>886</v>
      </c>
      <c r="B904" t="str">
        <f>HYPERLINK("が/がい　諸咳喘嘔えつ気逆　1761　挨穴捷径　杉原敦_ページ_6.jpg")</f>
        <v>が/がい　諸咳喘嘔えつ気逆　1761　挨穴捷径　杉原敦_ページ_6.jpg</v>
      </c>
    </row>
    <row r="905" spans="1:2" x14ac:dyDescent="0.15">
      <c r="A905" t="s">
        <v>887</v>
      </c>
      <c r="B905" t="str">
        <f>HYPERLINK("が/がく　額前（かくせん）痛　ひたいのいたむ病　前額神経痛　1887（明治20）　鍼灸備要　青山道醇.jpg")</f>
        <v>が/がく　額前（かくせん）痛　ひたいのいたむ病　前額神経痛　1887（明治20）　鍼灸備要　青山道醇.jpg</v>
      </c>
    </row>
    <row r="906" spans="1:2" x14ac:dyDescent="0.15">
      <c r="A906" t="s">
        <v>888</v>
      </c>
      <c r="B906" t="str">
        <f>HYPERLINK("が/がん　眼中血多く痛み、あるいは爛るる眩者　目の内に血の多き人またただれ目　1780　鍼灸極秘伝　木村太沖.jpg")</f>
        <v>が/がん　眼中血多く痛み、あるいは爛るる眩者　目の内に血の多き人またただれ目　1780　鍼灸極秘伝　木村太沖.jpg</v>
      </c>
    </row>
    <row r="907" spans="1:2" x14ac:dyDescent="0.15">
      <c r="A907" t="s">
        <v>889</v>
      </c>
      <c r="B907" t="str">
        <f>HYPERLINK("が/がん　眼疼不可忍　1315　鍼経摘英集　元・杜思敬「済生抜粋方」.jpg")</f>
        <v>が/がん　眼疼不可忍　1315　鍼経摘英集　元・杜思敬「済生抜粋方」.jpg</v>
      </c>
    </row>
    <row r="908" spans="1:2" x14ac:dyDescent="0.15">
      <c r="A908" t="s">
        <v>890</v>
      </c>
      <c r="B908" t="str">
        <f>HYPERLINK("が/がん　眼病　1686　鍼灸要法指南　岩田利斎_ページ_1.jpg")</f>
        <v>が/がん　眼病　1686　鍼灸要法指南　岩田利斎_ページ_1.jpg</v>
      </c>
    </row>
    <row r="909" spans="1:2" x14ac:dyDescent="0.15">
      <c r="A909" t="s">
        <v>891</v>
      </c>
      <c r="B909" t="str">
        <f>HYPERLINK("が/がん　眼病　1686　鍼灸要法指南　岩田利斎_ページ_2.jpg")</f>
        <v>が/がん　眼病　1686　鍼灸要法指南　岩田利斎_ページ_2.jpg</v>
      </c>
    </row>
    <row r="910" spans="1:2" x14ac:dyDescent="0.15">
      <c r="A910" t="s">
        <v>892</v>
      </c>
      <c r="B910" t="str">
        <f>HYPERLINK("が/がん　眼病　1686　鍼灸要法指南　岩田利斎_ページ_3.jpg")</f>
        <v>が/がん　眼病　1686　鍼灸要法指南　岩田利斎_ページ_3.jpg</v>
      </c>
    </row>
    <row r="911" spans="1:2" x14ac:dyDescent="0.15">
      <c r="A911" t="s">
        <v>893</v>
      </c>
      <c r="B911" t="str">
        <f>HYPERLINK("が/がん　眼目　1537　玉機微義針灸証治　鍼灸聚英　明・高武_ページ_1.jpg")</f>
        <v>が/がん　眼目　1537　玉機微義針灸証治　鍼灸聚英　明・高武_ページ_1.jpg</v>
      </c>
    </row>
    <row r="912" spans="1:2" x14ac:dyDescent="0.15">
      <c r="A912" t="s">
        <v>894</v>
      </c>
      <c r="B912" t="str">
        <f>HYPERLINK("が/がん　眼目　1537　玉機微義針灸証治　鍼灸聚英　明・高武_ページ_2.jpg")</f>
        <v>が/がん　眼目　1537　玉機微義針灸証治　鍼灸聚英　明・高武_ページ_2.jpg</v>
      </c>
    </row>
    <row r="913" spans="1:2" x14ac:dyDescent="0.15">
      <c r="A913" t="s">
        <v>895</v>
      </c>
      <c r="B913" t="str">
        <f>HYPERLINK("が/がん　眼目　1537　玉機微義針灸証治　鍼灸聚英　明・高武_ページ_3.jpg")</f>
        <v>が/がん　眼目　1537　玉機微義針灸証治　鍼灸聚英　明・高武_ページ_3.jpg</v>
      </c>
    </row>
    <row r="914" spans="1:2" x14ac:dyDescent="0.15">
      <c r="A914" t="s">
        <v>896</v>
      </c>
      <c r="B914" t="str">
        <f>HYPERLINK("が/がん　眼目　1537　鍼灸聚英　明・高武.jpg")</f>
        <v>が/がん　眼目　1537　鍼灸聚英　明・高武.jpg</v>
      </c>
    </row>
    <row r="915" spans="1:2" x14ac:dyDescent="0.15">
      <c r="A915" t="s">
        <v>897</v>
      </c>
      <c r="B915" t="str">
        <f>HYPERLINK("が/がん　眼目　1563　鍼灸集要　曲直瀬道三.jpg")</f>
        <v>が/がん　眼目　1563　鍼灸集要　曲直瀬道三.jpg</v>
      </c>
    </row>
    <row r="916" spans="1:2" x14ac:dyDescent="0.15">
      <c r="A916" t="s">
        <v>898</v>
      </c>
      <c r="B916" t="str">
        <f>HYPERLINK("が/がん　眼目　1669　鍼灸枢要　山本玄通_ページ_01.jpg")</f>
        <v>が/がん　眼目　1669　鍼灸枢要　山本玄通_ページ_01.jpg</v>
      </c>
    </row>
    <row r="917" spans="1:2" x14ac:dyDescent="0.15">
      <c r="A917" t="s">
        <v>899</v>
      </c>
      <c r="B917" t="str">
        <f>HYPERLINK("が/がん　眼目　1669　鍼灸枢要　山本玄通_ページ_02.jpg")</f>
        <v>が/がん　眼目　1669　鍼灸枢要　山本玄通_ページ_02.jpg</v>
      </c>
    </row>
    <row r="918" spans="1:2" x14ac:dyDescent="0.15">
      <c r="A918" t="s">
        <v>900</v>
      </c>
      <c r="B918" t="str">
        <f>HYPERLINK("が/がん　眼目　1669　鍼灸枢要　山本玄通_ページ_03.jpg")</f>
        <v>が/がん　眼目　1669　鍼灸枢要　山本玄通_ページ_03.jpg</v>
      </c>
    </row>
    <row r="919" spans="1:2" x14ac:dyDescent="0.15">
      <c r="A919" t="s">
        <v>901</v>
      </c>
      <c r="B919" t="str">
        <f>HYPERLINK("が/がん　眼目　1669　鍼灸枢要　山本玄通_ページ_04.jpg")</f>
        <v>が/がん　眼目　1669　鍼灸枢要　山本玄通_ページ_04.jpg</v>
      </c>
    </row>
    <row r="920" spans="1:2" x14ac:dyDescent="0.15">
      <c r="A920" t="s">
        <v>902</v>
      </c>
      <c r="B920" t="str">
        <f>HYPERLINK("が/がん　眼目　1669　鍼灸枢要　山本玄通_ページ_05.jpg")</f>
        <v>が/がん　眼目　1669　鍼灸枢要　山本玄通_ページ_05.jpg</v>
      </c>
    </row>
    <row r="921" spans="1:2" x14ac:dyDescent="0.15">
      <c r="A921" t="s">
        <v>903</v>
      </c>
      <c r="B921" t="str">
        <f>HYPERLINK("が/がん　眼目　1669　鍼灸枢要　山本玄通_ページ_06.jpg")</f>
        <v>が/がん　眼目　1669　鍼灸枢要　山本玄通_ページ_06.jpg</v>
      </c>
    </row>
    <row r="922" spans="1:2" x14ac:dyDescent="0.15">
      <c r="A922" t="s">
        <v>904</v>
      </c>
      <c r="B922" t="str">
        <f>HYPERLINK("が/がん　眼目　1669　鍼灸枢要　山本玄通_ページ_07.jpg")</f>
        <v>が/がん　眼目　1669　鍼灸枢要　山本玄通_ページ_07.jpg</v>
      </c>
    </row>
    <row r="923" spans="1:2" x14ac:dyDescent="0.15">
      <c r="A923" t="s">
        <v>905</v>
      </c>
      <c r="B923" t="str">
        <f>HYPERLINK("が/がん　眼目　1669　鍼灸枢要　山本玄通_ページ_08.jpg")</f>
        <v>が/がん　眼目　1669　鍼灸枢要　山本玄通_ページ_08.jpg</v>
      </c>
    </row>
    <row r="924" spans="1:2" x14ac:dyDescent="0.15">
      <c r="A924" t="s">
        <v>906</v>
      </c>
      <c r="B924" t="str">
        <f>HYPERLINK("が/がん　眼目　1669　鍼灸枢要　山本玄通_ページ_09.jpg")</f>
        <v>が/がん　眼目　1669　鍼灸枢要　山本玄通_ページ_09.jpg</v>
      </c>
    </row>
    <row r="925" spans="1:2" x14ac:dyDescent="0.15">
      <c r="A925" t="s">
        <v>907</v>
      </c>
      <c r="B925" t="str">
        <f>HYPERLINK("が/がん　眼目　1669　鍼灸枢要　山本玄通_ページ_10.jpg")</f>
        <v>が/がん　眼目　1669　鍼灸枢要　山本玄通_ページ_10.jpg</v>
      </c>
    </row>
    <row r="926" spans="1:2" x14ac:dyDescent="0.15">
      <c r="A926" t="s">
        <v>908</v>
      </c>
      <c r="B926" t="str">
        <f>HYPERLINK("が/がん　眼目　1669　鍼灸枢要　山本玄通_ページ_11.jpg")</f>
        <v>が/がん　眼目　1669　鍼灸枢要　山本玄通_ページ_11.jpg</v>
      </c>
    </row>
    <row r="927" spans="1:2" x14ac:dyDescent="0.15">
      <c r="A927" t="s">
        <v>909</v>
      </c>
      <c r="B927" t="str">
        <f>HYPERLINK("が/がん　眼目　1680　鍼灸抜萃　著者未詳.jpg")</f>
        <v>が/がん　眼目　1680　鍼灸抜萃　著者未詳.jpg</v>
      </c>
    </row>
    <row r="928" spans="1:2" x14ac:dyDescent="0.15">
      <c r="A928" t="s">
        <v>910</v>
      </c>
      <c r="B928" t="str">
        <f>HYPERLINK("が/がん　眼目　1693　鍼灸要歌集　安井昌玄_ページ_1.jpg")</f>
        <v>が/がん　眼目　1693　鍼灸要歌集　安井昌玄_ページ_1.jpg</v>
      </c>
    </row>
    <row r="929" spans="1:2" x14ac:dyDescent="0.15">
      <c r="A929" t="s">
        <v>911</v>
      </c>
      <c r="B929" t="str">
        <f>HYPERLINK("が/がん　眼目　1693　鍼灸要歌集　安井昌玄_ページ_2.jpg")</f>
        <v>が/がん　眼目　1693　鍼灸要歌集　安井昌玄_ページ_2.jpg</v>
      </c>
    </row>
    <row r="930" spans="1:2" x14ac:dyDescent="0.15">
      <c r="A930" t="s">
        <v>912</v>
      </c>
      <c r="B930" t="str">
        <f>HYPERLINK("が/がん　眼目　1694　目の病の事　療治之大概集　杉山和一.jpg")</f>
        <v>が/がん　眼目　1694　目の病の事　療治之大概集　杉山和一.jpg</v>
      </c>
    </row>
    <row r="931" spans="1:2" x14ac:dyDescent="0.15">
      <c r="A931" t="s">
        <v>913</v>
      </c>
      <c r="B931" t="str">
        <f>HYPERLINK("が/がん　眼目　1694　鍼灸そかい集　高津敬節.jpg")</f>
        <v>が/がん　眼目　1694　鍼灸そかい集　高津敬節.jpg</v>
      </c>
    </row>
    <row r="932" spans="1:2" x14ac:dyDescent="0.15">
      <c r="A932" t="s">
        <v>914</v>
      </c>
      <c r="B932" t="str">
        <f>HYPERLINK("が/がん　眼目　1696　広益鍼灸抜萃　著者未詳_ページ_1.jpg")</f>
        <v>が/がん　眼目　1696　広益鍼灸抜萃　著者未詳_ページ_1.jpg</v>
      </c>
    </row>
    <row r="933" spans="1:2" x14ac:dyDescent="0.15">
      <c r="A933" t="s">
        <v>915</v>
      </c>
      <c r="B933" t="str">
        <f>HYPERLINK("が/がん　眼目　1696　広益鍼灸抜萃　著者未詳_ページ_2.jpg")</f>
        <v>が/がん　眼目　1696　広益鍼灸抜萃　著者未詳_ページ_2.jpg</v>
      </c>
    </row>
    <row r="934" spans="1:2" x14ac:dyDescent="0.15">
      <c r="A934" t="s">
        <v>916</v>
      </c>
      <c r="B934" t="str">
        <f>HYPERLINK("が/がん　眼目　1698　鍼灸抜粋大成　岡本一抱_ページ_1.jpg")</f>
        <v>が/がん　眼目　1698　鍼灸抜粋大成　岡本一抱_ページ_1.jpg</v>
      </c>
    </row>
    <row r="935" spans="1:2" x14ac:dyDescent="0.15">
      <c r="A935" t="s">
        <v>917</v>
      </c>
      <c r="B935" t="str">
        <f>HYPERLINK("が/がん　眼目　1698　鍼灸抜粋大成　岡本一抱_ページ_2.jpg")</f>
        <v>が/がん　眼目　1698　鍼灸抜粋大成　岡本一抱_ページ_2.jpg</v>
      </c>
    </row>
    <row r="936" spans="1:2" x14ac:dyDescent="0.15">
      <c r="A936" t="s">
        <v>918</v>
      </c>
      <c r="B936" t="str">
        <f>HYPERLINK("が/がん　眼目　1718　鍼灸重宝記　本郷正豊_ページ_1.jpg")</f>
        <v>が/がん　眼目　1718　鍼灸重宝記　本郷正豊_ページ_1.jpg</v>
      </c>
    </row>
    <row r="937" spans="1:2" x14ac:dyDescent="0.15">
      <c r="A937" t="s">
        <v>919</v>
      </c>
      <c r="B937" t="str">
        <f>HYPERLINK("が/がん　眼目　1718　鍼灸重宝記　本郷正豊_ページ_2.jpg")</f>
        <v>が/がん　眼目　1718　鍼灸重宝記　本郷正豊_ページ_2.jpg</v>
      </c>
    </row>
    <row r="938" spans="1:2" x14ac:dyDescent="0.15">
      <c r="A938" t="s">
        <v>920</v>
      </c>
      <c r="B938" t="str">
        <f>HYPERLINK("が/がん　眼目　1767　鍼灸則　菅沼周桂_ページ_1.jpg")</f>
        <v>が/がん　眼目　1767　鍼灸則　菅沼周桂_ページ_1.jpg</v>
      </c>
    </row>
    <row r="939" spans="1:2" x14ac:dyDescent="0.15">
      <c r="A939" t="s">
        <v>921</v>
      </c>
      <c r="B939" t="str">
        <f>HYPERLINK("が/がん　眼目　1767　鍼灸則　菅沼周桂_ページ_2.jpg")</f>
        <v>が/がん　眼目　1767　鍼灸則　菅沼周桂_ページ_2.jpg</v>
      </c>
    </row>
    <row r="940" spans="1:2" x14ac:dyDescent="0.15">
      <c r="A940" t="s">
        <v>922</v>
      </c>
      <c r="B940" t="str">
        <f>HYPERLINK("が/がん　眼目　1767　鍼灸則　菅沼周桂_ページ_3.jpg")</f>
        <v>が/がん　眼目　1767　鍼灸則　菅沼周桂_ページ_3.jpg</v>
      </c>
    </row>
    <row r="941" spans="1:2" x14ac:dyDescent="0.15">
      <c r="A941" t="s">
        <v>923</v>
      </c>
      <c r="B941" t="str">
        <f>HYPERLINK("が/がん　眼目　1773　鍼灸手引草　大簡室主人_ページ_1.jpg")</f>
        <v>が/がん　眼目　1773　鍼灸手引草　大簡室主人_ページ_1.jpg</v>
      </c>
    </row>
    <row r="942" spans="1:2" x14ac:dyDescent="0.15">
      <c r="A942" t="s">
        <v>924</v>
      </c>
      <c r="B942" t="str">
        <f>HYPERLINK("が/がん　眼目　1773　鍼灸手引草　大簡室主人_ページ_2.jpg")</f>
        <v>が/がん　眼目　1773　鍼灸手引草　大簡室主人_ページ_2.jpg</v>
      </c>
    </row>
    <row r="943" spans="1:2" x14ac:dyDescent="0.15">
      <c r="A943" t="s">
        <v>925</v>
      </c>
      <c r="B943" t="str">
        <f>HYPERLINK("が/がん　眼目　1780　めのやまい　鍼灸極秘伝　木村太沖.jpg")</f>
        <v>が/がん　眼目　1780　めのやまい　鍼灸極秘伝　木村太沖.jpg</v>
      </c>
    </row>
    <row r="944" spans="1:2" x14ac:dyDescent="0.15">
      <c r="A944" t="s">
        <v>926</v>
      </c>
      <c r="B944" t="str">
        <f>HYPERLINK("が/がん　眼目　1792　鍼法要集　源長起_ページ_1.jpg")</f>
        <v>が/がん　眼目　1792　鍼法要集　源長起_ページ_1.jpg</v>
      </c>
    </row>
    <row r="945" spans="1:2" x14ac:dyDescent="0.15">
      <c r="A945" t="s">
        <v>927</v>
      </c>
      <c r="B945" t="str">
        <f>HYPERLINK("が/がん　眼目　1792　鍼法要集　源長起_ページ_2.jpg")</f>
        <v>が/がん　眼目　1792　鍼法要集　源長起_ページ_2.jpg</v>
      </c>
    </row>
    <row r="946" spans="1:2" x14ac:dyDescent="0.15">
      <c r="A946" t="s">
        <v>928</v>
      </c>
      <c r="B946" t="str">
        <f>HYPERLINK("が/がん　眼目　1792　鍼法要集　源長起_ページ_3.jpg")</f>
        <v>が/がん　眼目　1792　鍼法要集　源長起_ページ_3.jpg</v>
      </c>
    </row>
    <row r="947" spans="1:2" x14ac:dyDescent="0.15">
      <c r="A947" t="s">
        <v>929</v>
      </c>
      <c r="B947" t="str">
        <f>HYPERLINK("が/がん　眼目　1792　鍼法要集　源長起_ページ_4.jpg")</f>
        <v>が/がん　眼目　1792　鍼法要集　源長起_ページ_4.jpg</v>
      </c>
    </row>
    <row r="948" spans="1:2" x14ac:dyDescent="0.15">
      <c r="A948" t="s">
        <v>930</v>
      </c>
      <c r="B948" t="str">
        <f>HYPERLINK("が/がん　眼目　1792　鍼法要集　源長起_ページ_5.jpg")</f>
        <v>が/がん　眼目　1792　鍼法要集　源長起_ページ_5.jpg</v>
      </c>
    </row>
    <row r="949" spans="1:2" x14ac:dyDescent="0.15">
      <c r="A949" t="s">
        <v>931</v>
      </c>
      <c r="B949" t="str">
        <f>HYPERLINK("が/がん　眼目　1800　鍼灸備要　小坂元祐_ページ_1.jpg")</f>
        <v>が/がん　眼目　1800　鍼灸備要　小坂元祐_ページ_1.jpg</v>
      </c>
    </row>
    <row r="950" spans="1:2" x14ac:dyDescent="0.15">
      <c r="A950" t="s">
        <v>932</v>
      </c>
      <c r="B950" t="str">
        <f>HYPERLINK("が/がん　眼目　1800　鍼灸備要　小坂元祐_ページ_2.jpg")</f>
        <v>が/がん　眼目　1800　鍼灸備要　小坂元祐_ページ_2.jpg</v>
      </c>
    </row>
    <row r="951" spans="1:2" x14ac:dyDescent="0.15">
      <c r="A951" t="s">
        <v>933</v>
      </c>
      <c r="B951" t="str">
        <f>HYPERLINK("が/がん　眼目　1800　鍼灸備要　小坂元祐_ページ_3.jpg")</f>
        <v>が/がん　眼目　1800　鍼灸備要　小坂元祐_ページ_3.jpg</v>
      </c>
    </row>
    <row r="952" spans="1:2" x14ac:dyDescent="0.15">
      <c r="A952" t="s">
        <v>934</v>
      </c>
      <c r="B952" t="str">
        <f>HYPERLINK("が/がん　眼目　1800　鍼灸備要　小坂元祐_ページ_4.jpg")</f>
        <v>が/がん　眼目　1800　鍼灸備要　小坂元祐_ページ_4.jpg</v>
      </c>
    </row>
    <row r="953" spans="1:2" x14ac:dyDescent="0.15">
      <c r="A953" t="s">
        <v>935</v>
      </c>
      <c r="B953" t="str">
        <f>HYPERLINK("が/がん　眼目　1800　鍼灸備要　小坂元祐_ページ_5.jpg")</f>
        <v>が/がん　眼目　1800　鍼灸備要　小坂元祐_ページ_5.jpg</v>
      </c>
    </row>
    <row r="954" spans="1:2" x14ac:dyDescent="0.15">
      <c r="A954" t="s">
        <v>936</v>
      </c>
      <c r="B954" t="str">
        <f>HYPERLINK("が/がん　眼目　1807　続名家灸選　平井庸信_ページ_1.jpg")</f>
        <v>が/がん　眼目　1807　続名家灸選　平井庸信_ページ_1.jpg</v>
      </c>
    </row>
    <row r="955" spans="1:2" x14ac:dyDescent="0.15">
      <c r="A955" t="s">
        <v>937</v>
      </c>
      <c r="B955" t="str">
        <f>HYPERLINK("が/がん　眼目　1807　続名家灸選　平井庸信_ページ_2.jpg")</f>
        <v>が/がん　眼目　1807　続名家灸選　平井庸信_ページ_2.jpg</v>
      </c>
    </row>
    <row r="956" spans="1:2" x14ac:dyDescent="0.15">
      <c r="A956" t="s">
        <v>938</v>
      </c>
      <c r="B956" t="str">
        <f>HYPERLINK("が/がん　眼目　1813　名家灸選　浅井惟亨_ページ_1.jpg")</f>
        <v>が/がん　眼目　1813　名家灸選　浅井惟亨_ページ_1.jpg</v>
      </c>
    </row>
    <row r="957" spans="1:2" x14ac:dyDescent="0.15">
      <c r="A957" t="s">
        <v>939</v>
      </c>
      <c r="B957" t="str">
        <f>HYPERLINK("が/がん　眼目　1813　名家灸選　浅井惟亨_ページ_2.jpg")</f>
        <v>が/がん　眼目　1813　名家灸選　浅井惟亨_ページ_2.jpg</v>
      </c>
    </row>
    <row r="958" spans="1:2" x14ac:dyDescent="0.15">
      <c r="A958" t="s">
        <v>940</v>
      </c>
      <c r="B958" t="str">
        <f>HYPERLINK("が/がん　眼目　1813　名家灸選三編　平井庸信_ページ_1.jpg")</f>
        <v>が/がん　眼目　1813　名家灸選三編　平井庸信_ページ_1.jpg</v>
      </c>
    </row>
    <row r="959" spans="1:2" x14ac:dyDescent="0.15">
      <c r="A959" t="s">
        <v>941</v>
      </c>
      <c r="B959" t="str">
        <f>HYPERLINK("が/がん　眼目　1813　名家灸選三編　平井庸信_ページ_2.jpg")</f>
        <v>が/がん　眼目　1813　名家灸選三編　平井庸信_ページ_2.jpg</v>
      </c>
    </row>
    <row r="960" spans="1:2" x14ac:dyDescent="0.15">
      <c r="A960" t="s">
        <v>942</v>
      </c>
      <c r="B960" t="str">
        <f>HYPERLINK("が/がん　眼目　1813　名家灸選三編　平井庸信_ページ_3.jpg")</f>
        <v>が/がん　眼目　1813　名家灸選三編　平井庸信_ページ_3.jpg</v>
      </c>
    </row>
    <row r="961" spans="1:2" x14ac:dyDescent="0.15">
      <c r="A961" t="s">
        <v>943</v>
      </c>
      <c r="B961" t="str">
        <f>HYPERLINK("が/がん　眼目　成書年未詳　灸穴集　著者未詳_ページ_1.jpg")</f>
        <v>が/がん　眼目　成書年未詳　灸穴集　著者未詳_ページ_1.jpg</v>
      </c>
    </row>
    <row r="962" spans="1:2" x14ac:dyDescent="0.15">
      <c r="A962" t="s">
        <v>944</v>
      </c>
      <c r="B962" t="str">
        <f>HYPERLINK("が/がん　眼目　成書年未詳　灸穴集　著者未詳_ページ_2.jpg")</f>
        <v>が/がん　眼目　成書年未詳　灸穴集　著者未詳_ページ_2.jpg</v>
      </c>
    </row>
    <row r="963" spans="1:2" x14ac:dyDescent="0.15">
      <c r="A963" t="s">
        <v>945</v>
      </c>
      <c r="B963" t="str">
        <f>HYPERLINK("が/がん　眼目　成書年未詳　灸穴集　著者未詳_ページ_3.jpg")</f>
        <v>が/がん　眼目　成書年未詳　灸穴集　著者未詳_ページ_3.jpg</v>
      </c>
    </row>
    <row r="964" spans="1:2" x14ac:dyDescent="0.15">
      <c r="A964" t="s">
        <v>946</v>
      </c>
      <c r="B964" t="str">
        <f>HYPERLINK("が/がん　眼目　成書年未詳　灸穴集　著者未詳_ページ_4.jpg")</f>
        <v>が/がん　眼目　成書年未詳　灸穴集　著者未詳_ページ_4.jpg</v>
      </c>
    </row>
    <row r="965" spans="1:2" x14ac:dyDescent="0.15">
      <c r="A965" t="s">
        <v>947</v>
      </c>
      <c r="B965" t="str">
        <f>HYPERLINK("が/がん　眼目　成書年未詳　灸穴集　著者未詳_ページ_5.jpg")</f>
        <v>が/がん　眼目　成書年未詳　灸穴集　著者未詳_ページ_5.jpg</v>
      </c>
    </row>
    <row r="966" spans="1:2" x14ac:dyDescent="0.15">
      <c r="A966" t="s">
        <v>948</v>
      </c>
      <c r="B966" t="str">
        <f>HYPERLINK("が/がん　眼目　成書年未詳　灸穴集　著者未詳_ページ_6.jpg")</f>
        <v>が/がん　眼目　成書年未詳　灸穴集　著者未詳_ページ_6.jpg</v>
      </c>
    </row>
    <row r="967" spans="1:2" x14ac:dyDescent="0.15">
      <c r="A967" t="s">
        <v>949</v>
      </c>
      <c r="B967" t="str">
        <f>HYPERLINK("が/がん　眼目　成書年未詳　灸穴集　著者未詳_ページ_7.jpg")</f>
        <v>が/がん　眼目　成書年未詳　灸穴集　著者未詳_ページ_7.jpg</v>
      </c>
    </row>
    <row r="968" spans="1:2" x14ac:dyDescent="0.15">
      <c r="A968" t="s">
        <v>950</v>
      </c>
      <c r="B968" t="str">
        <f>HYPERLINK("が/がん　眼目　成書年未詳　経穴図解　著者未詳.jpg")</f>
        <v>が/がん　眼目　成書年未詳　経穴図解　著者未詳.jpg</v>
      </c>
    </row>
    <row r="969" spans="1:2" x14ac:dyDescent="0.15">
      <c r="A969" t="s">
        <v>951</v>
      </c>
      <c r="B969" t="str">
        <f>HYPERLINK("が/がん　眼目疼痛　1694　選鍼三要集　杉山和一.jpg")</f>
        <v>が/がん　眼目疼痛　1694　選鍼三要集　杉山和一.jpg</v>
      </c>
    </row>
    <row r="970" spans="1:2" x14ac:dyDescent="0.15">
      <c r="A970" t="s">
        <v>952</v>
      </c>
      <c r="B970" t="str">
        <f>HYPERLINK("が/がん　面瘡　かお（顔）の内のでもの　1780　鍼灸極秘伝　木村太沖.jpg")</f>
        <v>が/がん　面瘡　かお（顔）の内のでもの　1780　鍼灸極秘伝　木村太沖.jpg</v>
      </c>
    </row>
    <row r="971" spans="1:2" x14ac:dyDescent="0.15">
      <c r="A971" t="s">
        <v>953</v>
      </c>
      <c r="B971" t="str">
        <f>HYPERLINK("が/がん　頭面　1792　鍼法要集　源長起_ページ_1.jpg")</f>
        <v>が/がん　頭面　1792　鍼法要集　源長起_ページ_1.jpg</v>
      </c>
    </row>
    <row r="972" spans="1:2" x14ac:dyDescent="0.15">
      <c r="A972" t="s">
        <v>954</v>
      </c>
      <c r="B972" t="str">
        <f>HYPERLINK("が/がん　頭面　1792　鍼法要集　源長起_ページ_2.jpg")</f>
        <v>が/がん　頭面　1792　鍼法要集　源長起_ページ_2.jpg</v>
      </c>
    </row>
    <row r="973" spans="1:2" x14ac:dyDescent="0.15">
      <c r="A973" t="s">
        <v>955</v>
      </c>
      <c r="B973" t="str">
        <f>HYPERLINK("が/がん　頭面七竅病　1624　類経図翼　明・張介賓_ページ_1.jpg")</f>
        <v>が/がん　頭面七竅病　1624　類経図翼　明・張介賓_ページ_1.jpg</v>
      </c>
    </row>
    <row r="974" spans="1:2" x14ac:dyDescent="0.15">
      <c r="A974" t="s">
        <v>956</v>
      </c>
      <c r="B974" t="str">
        <f>HYPERLINK("が/がん　頭面七竅病　1624　類経図翼　明・張介賓_ページ_2.jpg")</f>
        <v>が/がん　頭面七竅病　1624　類経図翼　明・張介賓_ページ_2.jpg</v>
      </c>
    </row>
    <row r="975" spans="1:2" x14ac:dyDescent="0.15">
      <c r="A975" t="s">
        <v>957</v>
      </c>
      <c r="B975" t="str">
        <f>HYPERLINK("が/がん　頭面七竅病　1624　類経図翼　明・張介賓_ページ_3.jpg")</f>
        <v>が/がん　頭面七竅病　1624　類経図翼　明・張介賓_ページ_3.jpg</v>
      </c>
    </row>
    <row r="976" spans="1:2" x14ac:dyDescent="0.15">
      <c r="A976" t="s">
        <v>958</v>
      </c>
      <c r="B976" t="str">
        <f>HYPERLINK("が/がん　頭面七竅病　1624　類経図翼　明・張介賓_ページ_4.jpg")</f>
        <v>が/がん　頭面七竅病　1624　類経図翼　明・張介賓_ページ_4.jpg</v>
      </c>
    </row>
    <row r="977" spans="1:2" x14ac:dyDescent="0.15">
      <c r="A977" t="s">
        <v>959</v>
      </c>
      <c r="B977" t="str">
        <f>HYPERLINK("が/がん　頭面七竅病　1624　類経図翼　明・張介賓_ページ_5.jpg")</f>
        <v>が/がん　頭面七竅病　1624　類経図翼　明・張介賓_ページ_5.jpg</v>
      </c>
    </row>
    <row r="978" spans="1:2" x14ac:dyDescent="0.15">
      <c r="A978" t="s">
        <v>960</v>
      </c>
      <c r="B978" t="str">
        <f>HYPERLINK("が/がん　頭面七竅病　1624　類経図翼　明・張介賓_ページ_6.jpg")</f>
        <v>が/がん　頭面七竅病　1624　類経図翼　明・張介賓_ページ_6.jpg</v>
      </c>
    </row>
    <row r="979" spans="1:2" x14ac:dyDescent="0.15">
      <c r="A979" t="s">
        <v>961</v>
      </c>
      <c r="B979" t="str">
        <f>HYPERLINK("が/がん　頭面七竅病　1624　類経図翼　明・張介賓_ページ_7.jpg")</f>
        <v>が/がん　頭面七竅病　1624　類経図翼　明・張介賓_ページ_7.jpg</v>
      </c>
    </row>
    <row r="980" spans="1:2" x14ac:dyDescent="0.15">
      <c r="A980" t="s">
        <v>962</v>
      </c>
      <c r="B980" t="str">
        <f>HYPERLINK("が/がん　頭面七竅病　1761　挨穴捷径　杉原敦_ページ_1.jpg")</f>
        <v>が/がん　頭面七竅病　1761　挨穴捷径　杉原敦_ページ_1.jpg</v>
      </c>
    </row>
    <row r="981" spans="1:2" x14ac:dyDescent="0.15">
      <c r="A981" t="s">
        <v>963</v>
      </c>
      <c r="B981" t="str">
        <f>HYPERLINK("が/がん　頭面七竅病　1761　挨穴捷径　杉原敦_ページ_2.jpg")</f>
        <v>が/がん　頭面七竅病　1761　挨穴捷径　杉原敦_ページ_2.jpg</v>
      </c>
    </row>
    <row r="982" spans="1:2" x14ac:dyDescent="0.15">
      <c r="A982" t="s">
        <v>964</v>
      </c>
      <c r="B982" t="str">
        <f>HYPERLINK("が/がん　頭面七竅病　1761　挨穴捷径　杉原敦_ページ_3.jpg")</f>
        <v>が/がん　頭面七竅病　1761　挨穴捷径　杉原敦_ページ_3.jpg</v>
      </c>
    </row>
    <row r="983" spans="1:2" x14ac:dyDescent="0.15">
      <c r="A983" t="s">
        <v>965</v>
      </c>
      <c r="B983" t="str">
        <f>HYPERLINK("が/がん　頭面七竅病　1761　挨穴捷径　杉原敦_ページ_4.jpg")</f>
        <v>が/がん　頭面七竅病　1761　挨穴捷径　杉原敦_ページ_4.jpg</v>
      </c>
    </row>
    <row r="984" spans="1:2" x14ac:dyDescent="0.15">
      <c r="A984" t="s">
        <v>966</v>
      </c>
      <c r="B984" t="str">
        <f>HYPERLINK("が/がん　頭面七竅病　1761　挨穴捷径　杉原敦_ページ_5.jpg")</f>
        <v>が/がん　頭面七竅病　1761　挨穴捷径　杉原敦_ページ_5.jpg</v>
      </c>
    </row>
    <row r="985" spans="1:2" x14ac:dyDescent="0.15">
      <c r="A985" t="s">
        <v>967</v>
      </c>
      <c r="B985" t="str">
        <f>HYPERLINK("が/がん　頭面七竅病　1761　挨穴捷径　杉原敦_ページ_6.jpg")</f>
        <v>が/がん　頭面七竅病　1761　挨穴捷径　杉原敦_ページ_6.jpg</v>
      </c>
    </row>
    <row r="986" spans="1:2" x14ac:dyDescent="0.15">
      <c r="A986" t="s">
        <v>968</v>
      </c>
      <c r="B986" t="str">
        <f>HYPERLINK("が/がん　頷腫如升喉中閉塞水粒不下　1315　鍼経摘英集　元・杜思敬「済生抜粋方」.jpg")</f>
        <v>が/がん　頷腫如升喉中閉塞水粒不下　1315　鍼経摘英集　元・杜思敬「済生抜粋方」.jpg</v>
      </c>
    </row>
    <row r="987" spans="1:2" x14ac:dyDescent="0.15">
      <c r="A987" t="s">
        <v>969</v>
      </c>
      <c r="B987" t="str">
        <f>HYPERLINK("き/き　き病（きびょう）　おとみつわり　1686　鍼灸要法指南　岩田利斎.jpg")</f>
        <v>き/き　き病（きびょう）　おとみつわり　1686　鍼灸要法指南　岩田利斎.jpg</v>
      </c>
    </row>
    <row r="988" spans="1:2" x14ac:dyDescent="0.15">
      <c r="A988" t="s">
        <v>970</v>
      </c>
      <c r="B988" t="str">
        <f>HYPERLINK("き/き　下気　成書年未詳　灸穴集　著者未詳_ページ_1.jpg")</f>
        <v>き/き　下気　成書年未詳　灸穴集　著者未詳_ページ_1.jpg</v>
      </c>
    </row>
    <row r="989" spans="1:2" x14ac:dyDescent="0.15">
      <c r="A989" t="s">
        <v>971</v>
      </c>
      <c r="B989" t="str">
        <f>HYPERLINK("き/き　下気　成書年未詳　灸穴集　著者未詳_ページ_2.jpg")</f>
        <v>き/き　下気　成書年未詳　灸穴集　著者未詳_ページ_2.jpg</v>
      </c>
    </row>
    <row r="990" spans="1:2" x14ac:dyDescent="0.15">
      <c r="A990" t="s">
        <v>972</v>
      </c>
      <c r="B990" t="str">
        <f>HYPERLINK("き/き　下気　成書年未詳　灸穴集　著者未詳_ページ_3.jpg")</f>
        <v>き/き　下気　成書年未詳　灸穴集　著者未詳_ページ_3.jpg</v>
      </c>
    </row>
    <row r="991" spans="1:2" x14ac:dyDescent="0.15">
      <c r="A991" t="s">
        <v>973</v>
      </c>
      <c r="B991" t="str">
        <f>HYPERLINK("き/き　亀背　1686　（きはい）　せむし　鍼灸要法指南　岩田利斎.jpg")</f>
        <v>き/き　亀背　1686　（きはい）　せむし　鍼灸要法指南　岩田利斎.jpg</v>
      </c>
    </row>
    <row r="992" spans="1:2" x14ac:dyDescent="0.15">
      <c r="A992" t="s">
        <v>974</v>
      </c>
      <c r="B992" t="str">
        <f>HYPERLINK("き/き　亀背　1693　鍼灸要歌集　安井昌玄_ページ_1.jpg")</f>
        <v>き/き　亀背　1693　鍼灸要歌集　安井昌玄_ページ_1.jpg</v>
      </c>
    </row>
    <row r="993" spans="1:2" x14ac:dyDescent="0.15">
      <c r="A993" t="s">
        <v>5493</v>
      </c>
      <c r="B993" t="str">
        <f>HYPERLINK("き/き　亀背　1693　鍼灸要歌集　安井昌玄_ページ_2.jpg")</f>
        <v>き/き　亀背　1693　鍼灸要歌集　安井昌玄_ページ_2.jpg</v>
      </c>
    </row>
    <row r="994" spans="1:2" x14ac:dyDescent="0.15">
      <c r="A994" t="s">
        <v>5494</v>
      </c>
      <c r="B994" s="2" t="str">
        <f>HYPERLINK("き/き　亀背　1813　名家灸選三編　平井庸信.jpg")</f>
        <v>き/き　亀背　1813　名家灸選三編　平井庸信.jpg</v>
      </c>
    </row>
    <row r="995" spans="1:2" x14ac:dyDescent="0.15">
      <c r="A995" t="s">
        <v>975</v>
      </c>
      <c r="B995" t="str">
        <f>HYPERLINK("き/き　亀胸　1693　鍼灸要歌集　安井昌玄.jpg")</f>
        <v>き/き　亀胸　1693　鍼灸要歌集　安井昌玄.jpg</v>
      </c>
    </row>
    <row r="996" spans="1:2" x14ac:dyDescent="0.15">
      <c r="A996" t="s">
        <v>976</v>
      </c>
      <c r="B996" t="str">
        <f>HYPERLINK("き/き　亀胸　亀背　1669　鍼灸枢要　山本玄通_ページ_1.jpg")</f>
        <v>き/き　亀胸　亀背　1669　鍼灸枢要　山本玄通_ページ_1.jpg</v>
      </c>
    </row>
    <row r="997" spans="1:2" x14ac:dyDescent="0.15">
      <c r="A997" t="s">
        <v>977</v>
      </c>
      <c r="B997" t="str">
        <f>HYPERLINK("き/き　亀胸　亀背　1669　鍼灸枢要　山本玄通_ページ_2.jpg")</f>
        <v>き/き　亀胸　亀背　1669　鍼灸枢要　山本玄通_ページ_2.jpg</v>
      </c>
    </row>
    <row r="998" spans="1:2" x14ac:dyDescent="0.15">
      <c r="A998" t="s">
        <v>978</v>
      </c>
      <c r="B998" t="str">
        <f>HYPERLINK("き/き　亀胸　亀背　1669　鍼灸枢要　山本玄通_ページ_3.jpg")</f>
        <v>き/き　亀胸　亀背　1669　鍼灸枢要　山本玄通_ページ_3.jpg</v>
      </c>
    </row>
    <row r="999" spans="1:2" x14ac:dyDescent="0.15">
      <c r="A999" t="s">
        <v>979</v>
      </c>
      <c r="B999" t="str">
        <f>HYPERLINK("き/き　亀胸　亀背　1669　鍼灸枢要　山本玄通_ページ_4.jpg")</f>
        <v>き/き　亀胸　亀背　1669　鍼灸枢要　山本玄通_ページ_4.jpg</v>
      </c>
    </row>
    <row r="1000" spans="1:2" x14ac:dyDescent="0.15">
      <c r="A1000" t="s">
        <v>980</v>
      </c>
      <c r="B1000" t="str">
        <f>HYPERLINK("き/き　亀胸　亀背　成書年未詳　灸穴集　著者未詳.jpg")</f>
        <v>き/き　亀胸　亀背　成書年未詳　灸穴集　著者未詳.jpg</v>
      </c>
    </row>
    <row r="1001" spans="1:2" x14ac:dyDescent="0.15">
      <c r="A1001" t="s">
        <v>981</v>
      </c>
      <c r="B1001" t="str">
        <f>HYPERLINK("き/き　亀胸（ききょう）　はとむね　1686　鍼灸要法指南　岩田利斎.jpg")</f>
        <v>き/き　亀胸（ききょう）　はとむね　1686　鍼灸要法指南　岩田利斎.jpg</v>
      </c>
    </row>
    <row r="1002" spans="1:2" x14ac:dyDescent="0.15">
      <c r="A1002" t="s">
        <v>982</v>
      </c>
      <c r="B1002" t="str">
        <f>HYPERLINK("き/き　喜唾　1912年（大正01）　鍼灸手引草　久木田七郎.jpg")</f>
        <v>き/き　喜唾　1912年（大正01）　鍼灸手引草　久木田七郎.jpg</v>
      </c>
    </row>
    <row r="1003" spans="1:2" x14ac:dyDescent="0.15">
      <c r="A1003" t="s">
        <v>983</v>
      </c>
      <c r="B1003" t="str">
        <f>HYPERLINK("き/き　喜忘（きぼう）　とわすれ　1887（明治20）　鍼灸備要　青山道醇.jpg")</f>
        <v>き/き　喜忘（きぼう）　とわすれ　1887（明治20）　鍼灸備要　青山道醇.jpg</v>
      </c>
    </row>
    <row r="1004" spans="1:2" x14ac:dyDescent="0.15">
      <c r="A1004" t="s">
        <v>984</v>
      </c>
      <c r="B1004" t="str">
        <f>HYPERLINK("き/き　喜怒悲笑無常　1765　鍼法弁惑　藤井秀孟.jpg")</f>
        <v>き/き　喜怒悲笑無常　1765　鍼法弁惑　藤井秀孟.jpg</v>
      </c>
    </row>
    <row r="1005" spans="1:2" x14ac:dyDescent="0.15">
      <c r="A1005" t="s">
        <v>985</v>
      </c>
      <c r="B1005" t="str">
        <f>HYPERLINK("き/き　喜笑　喜怒　1912年（大正01）　鍼灸手引草　久木田七郎.jpg")</f>
        <v>き/き　喜笑　喜怒　1912年（大正01）　鍼灸手引草　久木田七郎.jpg</v>
      </c>
    </row>
    <row r="1006" spans="1:2" x14ac:dyDescent="0.15">
      <c r="A1006" t="s">
        <v>986</v>
      </c>
      <c r="B1006" t="str">
        <f>HYPERLINK("き/き　少気　短気　1912年（大正01）　鍼灸手引草　久木田七郎.jpg")</f>
        <v>き/き　少気　短気　1912年（大正01）　鍼灸手引草　久木田七郎.jpg</v>
      </c>
    </row>
    <row r="1007" spans="1:2" x14ac:dyDescent="0.15">
      <c r="A1007" t="s">
        <v>987</v>
      </c>
      <c r="B1007" t="str">
        <f>HYPERLINK("き/き　当流順気之法第一　1792　鍼法要集　源長起.jpg")</f>
        <v>き/き　当流順気之法第一　1792　鍼法要集　源長起.jpg</v>
      </c>
    </row>
    <row r="1008" spans="1:2" x14ac:dyDescent="0.15">
      <c r="A1008" t="s">
        <v>988</v>
      </c>
      <c r="B1008" t="str">
        <f>HYPERLINK("き/き　気　1563　鍼灸集要　曲直瀬道三.jpg")</f>
        <v>き/き　気　1563　鍼灸集要　曲直瀬道三.jpg</v>
      </c>
    </row>
    <row r="1009" spans="1:2" x14ac:dyDescent="0.15">
      <c r="A1009" t="s">
        <v>989</v>
      </c>
      <c r="B1009" t="str">
        <f>HYPERLINK("き/き　気　1574　兪穴参伍的法　秦宗巴_ページ_1.jpg")</f>
        <v>き/き　気　1574　兪穴参伍的法　秦宗巴_ページ_1.jpg</v>
      </c>
    </row>
    <row r="1010" spans="1:2" x14ac:dyDescent="0.15">
      <c r="A1010" t="s">
        <v>990</v>
      </c>
      <c r="B1010" t="str">
        <f>HYPERLINK("き/き　気　1574　兪穴参伍的法　秦宗巴_ページ_2.jpg")</f>
        <v>き/き　気　1574　兪穴参伍的法　秦宗巴_ページ_2.jpg</v>
      </c>
    </row>
    <row r="1011" spans="1:2" x14ac:dyDescent="0.15">
      <c r="A1011" t="s">
        <v>991</v>
      </c>
      <c r="B1011" t="str">
        <f>HYPERLINK("き/き　気　1680　鍼灸抜萃　著者未詳.jpg")</f>
        <v>き/き　気　1680　鍼灸抜萃　著者未詳.jpg</v>
      </c>
    </row>
    <row r="1012" spans="1:2" x14ac:dyDescent="0.15">
      <c r="A1012" t="s">
        <v>992</v>
      </c>
      <c r="B1012" t="str">
        <f>HYPERLINK("き/き　気　1693　鍼灸要歌集　安井昌玄_ページ_1.jpg")</f>
        <v>き/き　気　1693　鍼灸要歌集　安井昌玄_ページ_1.jpg</v>
      </c>
    </row>
    <row r="1013" spans="1:2" x14ac:dyDescent="0.15">
      <c r="A1013" t="s">
        <v>993</v>
      </c>
      <c r="B1013" t="str">
        <f>HYPERLINK("き/き　気　1693　鍼灸要歌集　安井昌玄_ページ_2.jpg")</f>
        <v>き/き　気　1693　鍼灸要歌集　安井昌玄_ページ_2.jpg</v>
      </c>
    </row>
    <row r="1014" spans="1:2" x14ac:dyDescent="0.15">
      <c r="A1014" t="s">
        <v>994</v>
      </c>
      <c r="B1014" t="str">
        <f>HYPERLINK("き/き　気　1693　鍼灸要歌集　安井昌玄_ページ_3.jpg")</f>
        <v>き/き　気　1693　鍼灸要歌集　安井昌玄_ページ_3.jpg</v>
      </c>
    </row>
    <row r="1015" spans="1:2" x14ac:dyDescent="0.15">
      <c r="A1015" t="s">
        <v>995</v>
      </c>
      <c r="B1015" t="str">
        <f>HYPERLINK("き/き　気　1696　広益鍼灸抜萃　著者未詳_ページ_1.jpg")</f>
        <v>き/き　気　1696　広益鍼灸抜萃　著者未詳_ページ_1.jpg</v>
      </c>
    </row>
    <row r="1016" spans="1:2" x14ac:dyDescent="0.15">
      <c r="A1016" t="s">
        <v>996</v>
      </c>
      <c r="B1016" t="str">
        <f>HYPERLINK("き/き　気　1696　広益鍼灸抜萃　著者未詳_ページ_2.jpg")</f>
        <v>き/き　気　1696　広益鍼灸抜萃　著者未詳_ページ_2.jpg</v>
      </c>
    </row>
    <row r="1017" spans="1:2" x14ac:dyDescent="0.15">
      <c r="A1017" t="s">
        <v>997</v>
      </c>
      <c r="B1017" t="str">
        <f>HYPERLINK("き/き　気　1696　広益鍼灸抜萃　著者未詳_ページ_3.jpg")</f>
        <v>き/き　気　1696　広益鍼灸抜萃　著者未詳_ページ_3.jpg</v>
      </c>
    </row>
    <row r="1018" spans="1:2" x14ac:dyDescent="0.15">
      <c r="A1018" t="s">
        <v>998</v>
      </c>
      <c r="B1018" t="str">
        <f>HYPERLINK("き/き　気　1773　鍼灸手引草　大簡室主人_ページ_1.jpg")</f>
        <v>き/き　気　1773　鍼灸手引草　大簡室主人_ページ_1.jpg</v>
      </c>
    </row>
    <row r="1019" spans="1:2" x14ac:dyDescent="0.15">
      <c r="A1019" t="s">
        <v>999</v>
      </c>
      <c r="B1019" t="str">
        <f>HYPERLINK("き/き　気　1773　鍼灸手引草　大簡室主人_ページ_2.jpg")</f>
        <v>き/き　気　1773　鍼灸手引草　大簡室主人_ページ_2.jpg</v>
      </c>
    </row>
    <row r="1020" spans="1:2" x14ac:dyDescent="0.15">
      <c r="A1020" t="s">
        <v>1000</v>
      </c>
      <c r="B1020" t="str">
        <f>HYPERLINK("き/き　気　附心悶　手生瘡　1329　扁鵲神応鍼灸玉龍経　元・王国瑞_ページ_1.jpg")</f>
        <v>き/き　気　附心悶　手生瘡　1329　扁鵲神応鍼灸玉龍経　元・王国瑞_ページ_1.jpg</v>
      </c>
    </row>
    <row r="1021" spans="1:2" x14ac:dyDescent="0.15">
      <c r="A1021" t="s">
        <v>1001</v>
      </c>
      <c r="B1021" t="str">
        <f>HYPERLINK("き/き　気　附心悶　手生瘡　1329　扁鵲神応鍼灸玉龍経　元・王国瑞_ページ_2.jpg")</f>
        <v>き/き　気　附心悶　手生瘡　1329　扁鵲神応鍼灸玉龍経　元・王国瑞_ページ_2.jpg</v>
      </c>
    </row>
    <row r="1022" spans="1:2" x14ac:dyDescent="0.15">
      <c r="A1022" t="s">
        <v>1002</v>
      </c>
      <c r="B1022" t="str">
        <f>HYPERLINK("き/き　気さかんにのぼるを治之穴　1613　古今集鍼法　長生庵了味か.jpg")</f>
        <v>き/き　気さかんにのぼるを治之穴　1613　古今集鍼法　長生庵了味か.jpg</v>
      </c>
    </row>
    <row r="1023" spans="1:2" x14ac:dyDescent="0.15">
      <c r="A1023" t="s">
        <v>1003</v>
      </c>
      <c r="B1023" t="str">
        <f>HYPERLINK("き/き　気を煩う病者　1607　扁鵲新流鍼書　越齋寿閑.jpg")</f>
        <v>き/き　気を煩う病者　1607　扁鵲新流鍼書　越齋寿閑.jpg</v>
      </c>
    </row>
    <row r="1024" spans="1:2" x14ac:dyDescent="0.15">
      <c r="A1024" t="s">
        <v>1004</v>
      </c>
      <c r="B1024" t="str">
        <f>HYPERLINK("き/き　気付　1686　鍼灸要法指南　岩田利斎.jpg")</f>
        <v>き/き　気付　1686　鍼灸要法指南　岩田利斎.jpg</v>
      </c>
    </row>
    <row r="1025" spans="1:2" x14ac:dyDescent="0.15">
      <c r="A1025" t="s">
        <v>1005</v>
      </c>
      <c r="B1025" t="str">
        <f>HYPERLINK("き/き　気喘　1329　扁鵲神応鍼灸玉龍経　元・王国瑞.jpg")</f>
        <v>き/き　気喘　1329　扁鵲神応鍼灸玉龍経　元・王国瑞.jpg</v>
      </c>
    </row>
    <row r="1026" spans="1:2" x14ac:dyDescent="0.15">
      <c r="A1026" t="s">
        <v>1006</v>
      </c>
      <c r="B1026" t="str">
        <f>HYPERLINK("き/き　気塊　1694　選鍼三要集　杉山和一.jpg")</f>
        <v>き/き　気塊　1694　選鍼三要集　杉山和一.jpg</v>
      </c>
    </row>
    <row r="1027" spans="1:2" x14ac:dyDescent="0.15">
      <c r="A1027" t="s">
        <v>1007</v>
      </c>
      <c r="B1027" t="str">
        <f>HYPERLINK("き/き　気塞　1607　扁鵲新流鍼書　越齋寿閑_ページ_1.jpg")</f>
        <v>き/き　気塞　1607　扁鵲新流鍼書　越齋寿閑_ページ_1.jpg</v>
      </c>
    </row>
    <row r="1028" spans="1:2" x14ac:dyDescent="0.15">
      <c r="A1028" t="s">
        <v>1008</v>
      </c>
      <c r="B1028" t="str">
        <f>HYPERLINK("き/き　気塞　1607　扁鵲新流鍼書　越齋寿閑_ページ_2.jpg")</f>
        <v>き/き　気塞　1607　扁鵲新流鍼書　越齋寿閑_ページ_2.jpg</v>
      </c>
    </row>
    <row r="1029" spans="1:2" x14ac:dyDescent="0.15">
      <c r="A1029" t="s">
        <v>1009</v>
      </c>
      <c r="B1029" t="str">
        <f>HYPERLINK("き/き　気息短少　1765　鍼法弁惑　藤井秀孟_ページ_1.jpg")</f>
        <v>き/き　気息短少　1765　鍼法弁惑　藤井秀孟_ページ_1.jpg</v>
      </c>
    </row>
    <row r="1030" spans="1:2" x14ac:dyDescent="0.15">
      <c r="A1030" t="s">
        <v>1010</v>
      </c>
      <c r="B1030" t="str">
        <f>HYPERLINK("き/き　気息短少　1765　鍼法弁惑　藤井秀孟_ページ_2.jpg")</f>
        <v>き/き　気息短少　1765　鍼法弁惑　藤井秀孟_ページ_2.jpg</v>
      </c>
    </row>
    <row r="1031" spans="1:2" x14ac:dyDescent="0.15">
      <c r="A1031" t="s">
        <v>1011</v>
      </c>
      <c r="B1031" t="str">
        <f>HYPERLINK("き/き　気満　1329　扁鵲神応鍼灸玉龍経　元・王国瑞.jpg")</f>
        <v>き/き　気満　1329　扁鵲神応鍼灸玉龍経　元・王国瑞.jpg</v>
      </c>
    </row>
    <row r="1032" spans="1:2" x14ac:dyDescent="0.15">
      <c r="A1032" t="s">
        <v>1012</v>
      </c>
      <c r="B1032" t="str">
        <f>HYPERLINK("き/き　気短　1694　選鍼三要集　杉山和一.jpg")</f>
        <v>き/き　気短　1694　選鍼三要集　杉山和一.jpg</v>
      </c>
    </row>
    <row r="1033" spans="1:2" x14ac:dyDescent="0.15">
      <c r="A1033" t="s">
        <v>1013</v>
      </c>
      <c r="B1033" t="str">
        <f>HYPERLINK("き/き　気短　気促　少気　1669　鍼灸枢要　山本玄通_ページ_1.jpg")</f>
        <v>き/き　気短　気促　少気　1669　鍼灸枢要　山本玄通_ページ_1.jpg</v>
      </c>
    </row>
    <row r="1034" spans="1:2" x14ac:dyDescent="0.15">
      <c r="A1034" t="s">
        <v>1014</v>
      </c>
      <c r="B1034" t="str">
        <f>HYPERLINK("き/き　気短　気促　少気　1669　鍼灸枢要　山本玄通_ページ_2.jpg")</f>
        <v>き/き　気短　気促　少気　1669　鍼灸枢要　山本玄通_ページ_2.jpg</v>
      </c>
    </row>
    <row r="1035" spans="1:2" x14ac:dyDescent="0.15">
      <c r="A1035" t="s">
        <v>1015</v>
      </c>
      <c r="B1035" t="str">
        <f>HYPERLINK("き/き　気短　気促　少気　1669　鍼灸枢要　山本玄通_ページ_3.jpg")</f>
        <v>き/き　気短　気促　少気　1669　鍼灸枢要　山本玄通_ページ_3.jpg</v>
      </c>
    </row>
    <row r="1036" spans="1:2" x14ac:dyDescent="0.15">
      <c r="A1036" t="s">
        <v>1016</v>
      </c>
      <c r="B1036" t="str">
        <f>HYPERLINK("き/き　気短　気促　少気　1669　鍼灸枢要　山本玄通_ページ_4.jpg")</f>
        <v>き/き　気短　気促　少気　1669　鍼灸枢要　山本玄通_ページ_4.jpg</v>
      </c>
    </row>
    <row r="1037" spans="1:2" x14ac:dyDescent="0.15">
      <c r="A1037" t="s">
        <v>1017</v>
      </c>
      <c r="B1037" t="str">
        <f>HYPERLINK("き/き　気絶不蘇　1765　鍼法弁惑　藤井秀孟_ページ_1.jpg")</f>
        <v>き/き　気絶不蘇　1765　鍼法弁惑　藤井秀孟_ページ_1.jpg</v>
      </c>
    </row>
    <row r="1038" spans="1:2" x14ac:dyDescent="0.15">
      <c r="A1038" t="s">
        <v>1018</v>
      </c>
      <c r="B1038" t="str">
        <f>HYPERLINK("き/き　気絶不蘇　1765　鍼法弁惑　藤井秀孟_ページ_2.jpg")</f>
        <v>き/き　気絶不蘇　1765　鍼法弁惑　藤井秀孟_ページ_2.jpg</v>
      </c>
    </row>
    <row r="1039" spans="1:2" x14ac:dyDescent="0.15">
      <c r="A1039" t="s">
        <v>1019</v>
      </c>
      <c r="B1039" t="str">
        <f>HYPERLINK("き/き　気腫　1686　鍼灸要法指南　岩田利斎.jpg")</f>
        <v>き/き　気腫　1686　鍼灸要法指南　岩田利斎.jpg</v>
      </c>
    </row>
    <row r="1040" spans="1:2" x14ac:dyDescent="0.15">
      <c r="A1040" t="s">
        <v>1020</v>
      </c>
      <c r="B1040" t="str">
        <f>HYPERLINK("き/き　気邪妖崇　1785　鍼書　本城義軒_ページ_1.jpg")</f>
        <v>き/き　気邪妖崇　1785　鍼書　本城義軒_ページ_1.jpg</v>
      </c>
    </row>
    <row r="1041" spans="1:2" x14ac:dyDescent="0.15">
      <c r="A1041" t="s">
        <v>1021</v>
      </c>
      <c r="B1041" t="str">
        <f>HYPERLINK("き/き　気邪妖崇　1785　鍼書　本城義軒_ページ_2.jpg")</f>
        <v>き/き　気邪妖崇　1785　鍼書　本城義軒_ページ_2.jpg</v>
      </c>
    </row>
    <row r="1042" spans="1:2" x14ac:dyDescent="0.15">
      <c r="A1042" t="s">
        <v>1022</v>
      </c>
      <c r="B1042" t="str">
        <f>HYPERLINK("き/き　気附　成書年未詳　灸穴集　著者未詳.jpg")</f>
        <v>き/き　気附　成書年未詳　灸穴集　著者未詳.jpg</v>
      </c>
    </row>
    <row r="1043" spans="1:2" x14ac:dyDescent="0.15">
      <c r="A1043" t="s">
        <v>1023</v>
      </c>
      <c r="B1043" t="str">
        <f>HYPERLINK("き/き　気附鍼　気つけのはり　1780　鍼灸極秘伝　木村太沖.jpg")</f>
        <v>き/き　気附鍼　気つけのはり　1780　鍼灸極秘伝　木村太沖.jpg</v>
      </c>
    </row>
    <row r="1044" spans="1:2" x14ac:dyDescent="0.15">
      <c r="A1044" t="s">
        <v>1024</v>
      </c>
      <c r="B1044" t="str">
        <f>HYPERLINK("き/き　気隙　1792　鍼法要集　源長起_ページ_1.jpg")</f>
        <v>き/き　気隙　1792　鍼法要集　源長起_ページ_1.jpg</v>
      </c>
    </row>
    <row r="1045" spans="1:2" x14ac:dyDescent="0.15">
      <c r="A1045" t="s">
        <v>1025</v>
      </c>
      <c r="B1045" t="str">
        <f>HYPERLINK("き/き　気隙　1792　鍼法要集　源長起_ページ_2.jpg")</f>
        <v>き/き　気隙　1792　鍼法要集　源長起_ページ_2.jpg</v>
      </c>
    </row>
    <row r="1046" spans="1:2" x14ac:dyDescent="0.15">
      <c r="A1046" t="s">
        <v>1026</v>
      </c>
      <c r="B1046" t="str">
        <f>HYPERLINK("き/き　諸の気付　1693　鍼灸要歌集　安井昌玄.jpg")</f>
        <v>き/き　諸の気付　1693　鍼灸要歌集　安井昌玄.jpg</v>
      </c>
    </row>
    <row r="1047" spans="1:2" x14ac:dyDescent="0.15">
      <c r="A1047" t="s">
        <v>1027</v>
      </c>
      <c r="B1047" t="str">
        <f>HYPERLINK("き/き　諸の気付　1718　鍼灸重宝記　本郷正豊.jpg")</f>
        <v>き/き　諸の気付　1718　鍼灸重宝記　本郷正豊.jpg</v>
      </c>
    </row>
    <row r="1048" spans="1:2" x14ac:dyDescent="0.15">
      <c r="A1048" t="s">
        <v>1028</v>
      </c>
      <c r="B1048" t="str">
        <f>HYPERLINK("き/き　諸の気付　1773　鍼灸手引草　大簡室主人_ページ_1.jpg")</f>
        <v>き/き　諸の気付　1773　鍼灸手引草　大簡室主人_ページ_1.jpg</v>
      </c>
    </row>
    <row r="1049" spans="1:2" x14ac:dyDescent="0.15">
      <c r="A1049" t="s">
        <v>1029</v>
      </c>
      <c r="B1049" t="str">
        <f>HYPERLINK("き/き　諸の気付　1773　鍼灸手引草　大簡室主人_ページ_2.jpg")</f>
        <v>き/き　諸の気付　1773　鍼灸手引草　大簡室主人_ページ_2.jpg</v>
      </c>
    </row>
    <row r="1050" spans="1:2" x14ac:dyDescent="0.15">
      <c r="A1050" t="s">
        <v>1030</v>
      </c>
      <c r="B1050" t="str">
        <f>HYPERLINK("き/き　諸気　1537　鍼灸聚英　明・高武_ページ_1.jpg")</f>
        <v>き/き　諸気　1537　鍼灸聚英　明・高武_ページ_1.jpg</v>
      </c>
    </row>
    <row r="1051" spans="1:2" x14ac:dyDescent="0.15">
      <c r="A1051" t="s">
        <v>1031</v>
      </c>
      <c r="B1051" t="str">
        <f>HYPERLINK("き/き　諸気　1537　鍼灸聚英　明・高武_ページ_2.jpg")</f>
        <v>き/き　諸気　1537　鍼灸聚英　明・高武_ページ_2.jpg</v>
      </c>
    </row>
    <row r="1052" spans="1:2" x14ac:dyDescent="0.15">
      <c r="A1052" t="s">
        <v>1032</v>
      </c>
      <c r="B1052" t="str">
        <f>HYPERLINK("き/き　諸気　1679　鍼法奇貨　渡辺東伯_ページ_1.jpg")</f>
        <v>き/き　諸気　1679　鍼法奇貨　渡辺東伯_ページ_1.jpg</v>
      </c>
    </row>
    <row r="1053" spans="1:2" x14ac:dyDescent="0.15">
      <c r="A1053" t="s">
        <v>1033</v>
      </c>
      <c r="B1053" t="str">
        <f>HYPERLINK("き/き　諸気　1679　鍼法奇貨　渡辺東伯_ページ_2.jpg")</f>
        <v>き/き　諸気　1679　鍼法奇貨　渡辺東伯_ページ_2.jpg</v>
      </c>
    </row>
    <row r="1054" spans="1:2" x14ac:dyDescent="0.15">
      <c r="A1054" t="s">
        <v>1034</v>
      </c>
      <c r="B1054" t="str">
        <f>HYPERLINK("き/き　諸気　1679　鍼法奇貨　渡辺東伯_ページ_3.jpg")</f>
        <v>き/き　諸気　1679　鍼法奇貨　渡辺東伯_ページ_3.jpg</v>
      </c>
    </row>
    <row r="1055" spans="1:2" x14ac:dyDescent="0.15">
      <c r="A1055" t="s">
        <v>1035</v>
      </c>
      <c r="B1055" t="str">
        <f>HYPERLINK("き/き　諸気　1679　鍼法奇貨　渡辺東伯_ページ_4.jpg")</f>
        <v>き/き　諸気　1679　鍼法奇貨　渡辺東伯_ページ_4.jpg</v>
      </c>
    </row>
    <row r="1056" spans="1:2" x14ac:dyDescent="0.15">
      <c r="A1056" t="s">
        <v>1036</v>
      </c>
      <c r="B1056" t="str">
        <f>HYPERLINK("き/き　諸気　1679　鍼法奇貨　渡辺東伯_ページ_5.jpg")</f>
        <v>き/き　諸気　1679　鍼法奇貨　渡辺東伯_ページ_5.jpg</v>
      </c>
    </row>
    <row r="1057" spans="1:2" x14ac:dyDescent="0.15">
      <c r="A1057" t="s">
        <v>1037</v>
      </c>
      <c r="B1057" t="str">
        <f>HYPERLINK("き/き　諸気　1679　鍼法奇貨　渡辺東伯_ページ_6.jpg")</f>
        <v>き/き　諸気　1679　鍼法奇貨　渡辺東伯_ページ_6.jpg</v>
      </c>
    </row>
    <row r="1058" spans="1:2" x14ac:dyDescent="0.15">
      <c r="A1058" t="s">
        <v>1038</v>
      </c>
      <c r="B1058" t="str">
        <f>HYPERLINK("き/き　諸気　1679　鍼法奇貨　渡辺東伯_ページ_7.jpg")</f>
        <v>き/き　諸気　1679　鍼法奇貨　渡辺東伯_ページ_7.jpg</v>
      </c>
    </row>
    <row r="1059" spans="1:2" x14ac:dyDescent="0.15">
      <c r="A1059" t="s">
        <v>1039</v>
      </c>
      <c r="B1059" t="str">
        <f>HYPERLINK("き/き　諸気　1679　鍼法奇貨　渡辺東伯_ページ_8.jpg")</f>
        <v>き/き　諸気　1679　鍼法奇貨　渡辺東伯_ページ_8.jpg</v>
      </c>
    </row>
    <row r="1060" spans="1:2" x14ac:dyDescent="0.15">
      <c r="A1060" t="s">
        <v>1040</v>
      </c>
      <c r="B1060" t="str">
        <f>HYPERLINK("き/き　諸気　1698　鍼灸抜粋大成　岡本一抱_ページ_1.jpg")</f>
        <v>き/き　諸気　1698　鍼灸抜粋大成　岡本一抱_ページ_1.jpg</v>
      </c>
    </row>
    <row r="1061" spans="1:2" x14ac:dyDescent="0.15">
      <c r="A1061" t="s">
        <v>1041</v>
      </c>
      <c r="B1061" t="str">
        <f>HYPERLINK("き/き　諸気　1698　鍼灸抜粋大成　岡本一抱_ページ_2.jpg")</f>
        <v>き/き　諸気　1698　鍼灸抜粋大成　岡本一抱_ページ_2.jpg</v>
      </c>
    </row>
    <row r="1062" spans="1:2" x14ac:dyDescent="0.15">
      <c r="A1062" t="s">
        <v>1042</v>
      </c>
      <c r="B1062" t="str">
        <f>HYPERLINK("き/き　諸気　1767　鍼灸則　菅沼周桂_ページ_1.jpg")</f>
        <v>き/き　諸気　1767　鍼灸則　菅沼周桂_ページ_1.jpg</v>
      </c>
    </row>
    <row r="1063" spans="1:2" x14ac:dyDescent="0.15">
      <c r="A1063" t="s">
        <v>1043</v>
      </c>
      <c r="B1063" t="str">
        <f>HYPERLINK("き/き　諸気　1767　鍼灸則　菅沼周桂_ページ_2.jpg")</f>
        <v>き/き　諸気　1767　鍼灸則　菅沼周桂_ページ_2.jpg</v>
      </c>
    </row>
    <row r="1064" spans="1:2" x14ac:dyDescent="0.15">
      <c r="A1064" t="s">
        <v>1044</v>
      </c>
      <c r="B1064" t="str">
        <f>HYPERLINK("き/き　諸気　1794　杉山流鍼術　島浦和田一_ページ_1.jpg")</f>
        <v>き/き　諸気　1794　杉山流鍼術　島浦和田一_ページ_1.jpg</v>
      </c>
    </row>
    <row r="1065" spans="1:2" x14ac:dyDescent="0.15">
      <c r="A1065" t="s">
        <v>1045</v>
      </c>
      <c r="B1065" t="str">
        <f>HYPERLINK("き/き　諸気　1794　杉山流鍼術　島浦和田一_ページ_2.jpg")</f>
        <v>き/き　諸気　1794　杉山流鍼術　島浦和田一_ページ_2.jpg</v>
      </c>
    </row>
    <row r="1066" spans="1:2" x14ac:dyDescent="0.15">
      <c r="A1066" t="s">
        <v>1046</v>
      </c>
      <c r="B1066" t="str">
        <f>HYPERLINK("き/き　諸気　成書年未詳　灸穴集　著者未詳.jpg")</f>
        <v>き/き　諸気　成書年未詳　灸穴集　著者未詳.jpg</v>
      </c>
    </row>
    <row r="1067" spans="1:2" x14ac:dyDescent="0.15">
      <c r="A1067" t="s">
        <v>1047</v>
      </c>
      <c r="B1067" t="str">
        <f>HYPERLINK("き/き　諸気　成書年未詳　経穴図解　著者未詳_ページ_1.jpg")</f>
        <v>き/き　諸気　成書年未詳　経穴図解　著者未詳_ページ_1.jpg</v>
      </c>
    </row>
    <row r="1068" spans="1:2" x14ac:dyDescent="0.15">
      <c r="A1068" t="s">
        <v>1048</v>
      </c>
      <c r="B1068" t="str">
        <f>HYPERLINK("き/き　諸気　成書年未詳　経穴図解　著者未詳_ページ_2.jpg")</f>
        <v>き/き　諸気　成書年未詳　経穴図解　著者未詳_ページ_2.jpg</v>
      </c>
    </row>
    <row r="1069" spans="1:2" x14ac:dyDescent="0.15">
      <c r="A1069" t="s">
        <v>1049</v>
      </c>
      <c r="B1069" t="str">
        <f>HYPERLINK("き/き　諸気　気の脉は沈なり　1718　鍼灸重宝記　本郷正豊.jpg")</f>
        <v>き/き　諸気　気の脉は沈なり　1718　鍼灸重宝記　本郷正豊.jpg</v>
      </c>
    </row>
    <row r="1070" spans="1:2" x14ac:dyDescent="0.15">
      <c r="A1070" t="s">
        <v>1050</v>
      </c>
      <c r="B1070" t="str">
        <f>HYPERLINK("き/き　諸気　鬱証　1686　鍼灸要法指南　岩田利斎.jpg")</f>
        <v>き/き　諸気　鬱証　1686　鍼灸要法指南　岩田利斎.jpg</v>
      </c>
    </row>
    <row r="1071" spans="1:2" x14ac:dyDescent="0.15">
      <c r="A1071" t="s">
        <v>1051</v>
      </c>
      <c r="B1071" t="str">
        <f>HYPERLINK("き/き　高きに登りて落ち気を絶する者　高き所より落て気を失ふ　1780　鍼灸極秘伝　木村太沖.jpg")</f>
        <v>き/き　高きに登りて落ち気を絶する者　高き所より落て気を失ふ　1780　鍼灸極秘伝　木村太沖.jpg</v>
      </c>
    </row>
    <row r="1072" spans="1:2" x14ac:dyDescent="0.15">
      <c r="A1072" t="s">
        <v>1052</v>
      </c>
      <c r="B1072" t="str">
        <f>HYPERLINK("き/き　鬼哭穴　1758　灸ぜつ塩土伝　三宅意安.jpg")</f>
        <v>き/き　鬼哭穴　1758　灸ぜつ塩土伝　三宅意安.jpg</v>
      </c>
    </row>
    <row r="1073" spans="1:2" x14ac:dyDescent="0.15">
      <c r="A1073" t="s">
        <v>1053</v>
      </c>
      <c r="B1073" t="str">
        <f>HYPERLINK("き/き　鬼撃　1315　鍼経摘英集　元・杜思敬「済生抜粋方」.jpg")</f>
        <v>き/き　鬼撃　1315　鍼経摘英集　元・杜思敬「済生抜粋方」.jpg</v>
      </c>
    </row>
    <row r="1074" spans="1:2" x14ac:dyDescent="0.15">
      <c r="A1074" t="s">
        <v>1054</v>
      </c>
      <c r="B1074" t="str">
        <f>HYPERLINK("き/き　鬼魁諸邪　1574　兪穴参伍的法　秦宗巴_ページ_1.jpg")</f>
        <v>き/き　鬼魁諸邪　1574　兪穴参伍的法　秦宗巴_ページ_1.jpg</v>
      </c>
    </row>
    <row r="1075" spans="1:2" x14ac:dyDescent="0.15">
      <c r="A1075" t="s">
        <v>1055</v>
      </c>
      <c r="B1075" t="str">
        <f>HYPERLINK("き/き　鬼魁諸邪　1574　兪穴参伍的法　秦宗巴_ページ_2.jpg")</f>
        <v>き/き　鬼魁諸邪　1574　兪穴参伍的法　秦宗巴_ページ_2.jpg</v>
      </c>
    </row>
    <row r="1076" spans="1:2" x14ac:dyDescent="0.15">
      <c r="A1076" t="s">
        <v>1056</v>
      </c>
      <c r="B1076" t="str">
        <f>HYPERLINK("き/き　鬼魘（きえん）　おそわるる　魘夢（えんむ）　1887（明治20）　鍼灸備要　青山道醇.jpg")</f>
        <v>き/き　鬼魘（きえん）　おそわるる　魘夢（えんむ）　1887（明治20）　鍼灸備要　青山道醇.jpg</v>
      </c>
    </row>
    <row r="1077" spans="1:2" x14ac:dyDescent="0.15">
      <c r="A1077" t="s">
        <v>1057</v>
      </c>
      <c r="B1077" t="str">
        <f>HYPERLINK("き/きつ　吃逆　1912年（大正01）　鍼灸手引草　久木田七郎_ページ_1.jpg")</f>
        <v>き/きつ　吃逆　1912年（大正01）　鍼灸手引草　久木田七郎_ページ_1.jpg</v>
      </c>
    </row>
    <row r="1078" spans="1:2" x14ac:dyDescent="0.15">
      <c r="A1078" t="s">
        <v>1058</v>
      </c>
      <c r="B1078" t="str">
        <f>HYPERLINK("き/きつ　吃逆　1912年（大正01）　鍼灸手引草　久木田七郎_ページ_2.jpg")</f>
        <v>き/きつ　吃逆　1912年（大正01）　鍼灸手引草　久木田七郎_ページ_2.jpg</v>
      </c>
    </row>
    <row r="1079" spans="1:2" x14ac:dyDescent="0.15">
      <c r="A1079" t="s">
        <v>1059</v>
      </c>
      <c r="B1079" t="str">
        <f>HYPERLINK("き/きつね　狐退針灸之穴　1613　古今集鍼法　長生庵了味か.jpg")</f>
        <v>き/きつね　狐退針灸之穴　1613　古今集鍼法　長生庵了味か.jpg</v>
      </c>
    </row>
    <row r="1080" spans="1:2" x14ac:dyDescent="0.15">
      <c r="A1080" t="s">
        <v>1060</v>
      </c>
      <c r="B1080" t="str">
        <f>HYPERLINK("き/きゃく　脚病　0650　千金方　孫思ばく_ページ_1.jpg")</f>
        <v>き/きゃく　脚病　0650　千金方　孫思ばく_ページ_1.jpg</v>
      </c>
    </row>
    <row r="1081" spans="1:2" x14ac:dyDescent="0.15">
      <c r="A1081" t="s">
        <v>1061</v>
      </c>
      <c r="B1081" t="str">
        <f>HYPERLINK("き/きゃく　脚病　0650　千金方　孫思ばく_ページ_2.jpg")</f>
        <v>き/きゃく　脚病　0650　千金方　孫思ばく_ページ_2.jpg</v>
      </c>
    </row>
    <row r="1082" spans="1:2" x14ac:dyDescent="0.15">
      <c r="A1082" t="s">
        <v>1062</v>
      </c>
      <c r="B1082" t="str">
        <f>HYPERLINK("き/きゅう　久瘧不兪　1694　選鍼三要集　杉山和一.jpg")</f>
        <v>き/きゅう　久瘧不兪　1694　選鍼三要集　杉山和一.jpg</v>
      </c>
    </row>
    <row r="1083" spans="1:2" x14ac:dyDescent="0.15">
      <c r="A1083" t="s">
        <v>1063</v>
      </c>
      <c r="B1083" t="str">
        <f>HYPERLINK("き/きゅう　九曜　1758　灸ぜつ塩土伝　三宅意安_ページ_1.jpg")</f>
        <v>き/きゅう　九曜　1758　灸ぜつ塩土伝　三宅意安_ページ_1.jpg</v>
      </c>
    </row>
    <row r="1084" spans="1:2" x14ac:dyDescent="0.15">
      <c r="A1084" t="s">
        <v>1064</v>
      </c>
      <c r="B1084" t="str">
        <f>HYPERLINK("き/きゅう　九曜　1758　灸ぜつ塩土伝　三宅意安_ページ_2.jpg")</f>
        <v>き/きゅう　九曜　1758　灸ぜつ塩土伝　三宅意安_ページ_2.jpg</v>
      </c>
    </row>
    <row r="1085" spans="1:2" x14ac:dyDescent="0.15">
      <c r="A1085" t="s">
        <v>1065</v>
      </c>
      <c r="B1085" t="str">
        <f>HYPERLINK("き/きゅう　九曜　1758　灸ぜつ塩土伝　三宅意安_ページ_3.jpg")</f>
        <v>き/きゅう　九曜　1758　灸ぜつ塩土伝　三宅意安_ページ_3.jpg</v>
      </c>
    </row>
    <row r="1086" spans="1:2" x14ac:dyDescent="0.15">
      <c r="A1086" t="s">
        <v>1066</v>
      </c>
      <c r="B1086" t="str">
        <f>HYPERLINK("き/きゅう　休息痢　げりびょう　1780　鍼灸極秘伝　木村太沖.jpg")</f>
        <v>き/きゅう　休息痢　げりびょう　1780　鍼灸極秘伝　木村太沖.jpg</v>
      </c>
    </row>
    <row r="1087" spans="1:2" x14ac:dyDescent="0.15">
      <c r="A1087" t="s">
        <v>1067</v>
      </c>
      <c r="B1087" t="str">
        <f>HYPERLINK("き/きゅう　喉痺　1226　急喉痺　備急灸法　宋・聞人耆年.jpg")</f>
        <v>き/きゅう　喉痺　1226　急喉痺　備急灸法　宋・聞人耆年.jpg</v>
      </c>
    </row>
    <row r="1088" spans="1:2" x14ac:dyDescent="0.15">
      <c r="A1088" t="s">
        <v>1068</v>
      </c>
      <c r="B1088" t="str">
        <f>HYPERLINK("き/きゅう　小児久癖　1703　鍼灸阿是要穴　岡本一抱.jpg")</f>
        <v>き/きゅう　小児久癖　1703　鍼灸阿是要穴　岡本一抱.jpg</v>
      </c>
    </row>
    <row r="1089" spans="1:2" x14ac:dyDescent="0.15">
      <c r="A1089" t="s">
        <v>1069</v>
      </c>
      <c r="B1089" t="str">
        <f>HYPERLINK("き/きゅう　急食不通并傷寒水結　1315　鍼経摘英集　元・杜思敬「済生抜粋方」.jpg")</f>
        <v>き/きゅう　急食不通并傷寒水結　1315　鍼経摘英集　元・杜思敬「済生抜粋方」.jpg</v>
      </c>
    </row>
    <row r="1090" spans="1:2" x14ac:dyDescent="0.15">
      <c r="A1090" t="s">
        <v>1070</v>
      </c>
      <c r="B1090" t="str">
        <f>HYPERLINK("き/きゅう　救急　1813　名家灸選　浅井惟亨.jpg")</f>
        <v>き/きゅう　救急　1813　名家灸選　浅井惟亨.jpg</v>
      </c>
    </row>
    <row r="1091" spans="1:2" x14ac:dyDescent="0.15">
      <c r="A1091" t="s">
        <v>1071</v>
      </c>
      <c r="B1091" t="str">
        <f>HYPERLINK("き/きゅう　救極針穴　1613　古今集鍼法　長生庵了味か_ページ_1.jpg")</f>
        <v>き/きゅう　救極針穴　1613　古今集鍼法　長生庵了味か_ページ_1.jpg</v>
      </c>
    </row>
    <row r="1092" spans="1:2" x14ac:dyDescent="0.15">
      <c r="A1092" t="s">
        <v>1072</v>
      </c>
      <c r="B1092" t="str">
        <f>HYPERLINK("き/きゅう　救極針穴　1613　古今集鍼法　長生庵了味か_ページ_2.jpg")</f>
        <v>き/きゅう　救極針穴　1613　古今集鍼法　長生庵了味か_ページ_2.jpg</v>
      </c>
    </row>
    <row r="1093" spans="1:2" x14ac:dyDescent="0.15">
      <c r="A1093" t="s">
        <v>1073</v>
      </c>
      <c r="B1093" t="str">
        <f>HYPERLINK("き/きゅう　求嗣　1813　名家灸選　浅井惟亨.jpg")</f>
        <v>き/きゅう　求嗣　1813　名家灸選　浅井惟亨.jpg</v>
      </c>
    </row>
    <row r="1094" spans="1:2" x14ac:dyDescent="0.15">
      <c r="A1094" t="s">
        <v>1074</v>
      </c>
      <c r="B1094" t="str">
        <f>HYPERLINK("き/きゅう　求嗣　1813　名家灸選三編　平井庸信_ページ_1.jpg")</f>
        <v>き/きゅう　求嗣　1813　名家灸選三編　平井庸信_ページ_1.jpg</v>
      </c>
    </row>
    <row r="1095" spans="1:2" x14ac:dyDescent="0.15">
      <c r="A1095" t="s">
        <v>1075</v>
      </c>
      <c r="B1095" t="str">
        <f>HYPERLINK("き/きゅう　求嗣　1813　名家灸選三編　平井庸信_ページ_2.jpg")</f>
        <v>き/きゅう　求嗣　1813　名家灸選三編　平井庸信_ページ_2.jpg</v>
      </c>
    </row>
    <row r="1096" spans="1:2" x14ac:dyDescent="0.15">
      <c r="A1096" t="s">
        <v>1076</v>
      </c>
      <c r="B1096" t="str">
        <f>HYPERLINK("き/きゅう　求嗣　1813　名家灸選三編　平井庸信_ページ_3.jpg")</f>
        <v>き/きゅう　求嗣　1813　名家灸選三編　平井庸信_ページ_3.jpg</v>
      </c>
    </row>
    <row r="1097" spans="1:2" x14ac:dyDescent="0.15">
      <c r="A1097" t="s">
        <v>1077</v>
      </c>
      <c r="B1097" t="str">
        <f>HYPERLINK("き/きゅう　求子　1693　鍼灸要歌集　安井昌玄.jpg")</f>
        <v>き/きゅう　求子　1693　鍼灸要歌集　安井昌玄.jpg</v>
      </c>
    </row>
    <row r="1098" spans="1:2" x14ac:dyDescent="0.15">
      <c r="A1098" t="s">
        <v>1078</v>
      </c>
      <c r="B1098" t="str">
        <f>HYPERLINK("き/きょ　虚　1329　扁鵲神応鍼灸玉龍経　元・王国瑞.jpg")</f>
        <v>き/きょ　虚　1329　扁鵲神応鍼灸玉龍経　元・王国瑞.jpg</v>
      </c>
    </row>
    <row r="1099" spans="1:2" x14ac:dyDescent="0.15">
      <c r="A1099" t="s">
        <v>1079</v>
      </c>
      <c r="B1099" t="str">
        <f>HYPERLINK("き/きょ　虚労　1624　類経図翼　明・張介賓_ページ_1.jpg")</f>
        <v>き/きょ　虚労　1624　類経図翼　明・張介賓_ページ_1.jpg</v>
      </c>
    </row>
    <row r="1100" spans="1:2" x14ac:dyDescent="0.15">
      <c r="A1100" t="s">
        <v>1080</v>
      </c>
      <c r="B1100" t="str">
        <f>HYPERLINK("き/きょ　虚労　1624　類経図翼　明・張介賓_ページ_2.jpg")</f>
        <v>き/きょ　虚労　1624　類経図翼　明・張介賓_ページ_2.jpg</v>
      </c>
    </row>
    <row r="1101" spans="1:2" x14ac:dyDescent="0.15">
      <c r="A1101" t="s">
        <v>1081</v>
      </c>
      <c r="B1101" t="str">
        <f>HYPERLINK("き/きょ　虚労　1624　類経図翼　明・張介賓_ページ_3.jpg")</f>
        <v>き/きょ　虚労　1624　類経図翼　明・張介賓_ページ_3.jpg</v>
      </c>
    </row>
    <row r="1102" spans="1:2" x14ac:dyDescent="0.15">
      <c r="A1102" t="s">
        <v>1082</v>
      </c>
      <c r="B1102" t="str">
        <f>HYPERLINK("き/きょ　虚労　1624　類経図翼　明・張介賓_ページ_4.jpg")</f>
        <v>き/きょ　虚労　1624　類経図翼　明・張介賓_ページ_4.jpg</v>
      </c>
    </row>
    <row r="1103" spans="1:2" x14ac:dyDescent="0.15">
      <c r="A1103" t="s">
        <v>1083</v>
      </c>
      <c r="B1103" t="str">
        <f>HYPERLINK("き/きょ　虚労　1624　類経図翼　明・張介賓_ページ_5.jpg")</f>
        <v>き/きょ　虚労　1624　類経図翼　明・張介賓_ページ_5.jpg</v>
      </c>
    </row>
    <row r="1104" spans="1:2" x14ac:dyDescent="0.15">
      <c r="A1104" t="s">
        <v>1084</v>
      </c>
      <c r="B1104" t="str">
        <f>HYPERLINK("き/きょ　虚労　1624　類経図翼　明・張介賓_ページ_6.jpg")</f>
        <v>き/きょ　虚労　1624　類経図翼　明・張介賓_ページ_6.jpg</v>
      </c>
    </row>
    <row r="1105" spans="1:2" x14ac:dyDescent="0.15">
      <c r="A1105" t="s">
        <v>1085</v>
      </c>
      <c r="B1105" t="str">
        <f>HYPERLINK("き/きょ　虚労　1694　選鍼三要集　杉山和一.jpg")</f>
        <v>き/きょ　虚労　1694　選鍼三要集　杉山和一.jpg</v>
      </c>
    </row>
    <row r="1106" spans="1:2" x14ac:dyDescent="0.15">
      <c r="A1106" t="s">
        <v>1086</v>
      </c>
      <c r="B1106" t="str">
        <f>HYPERLINK("き/きょ　虚労　1761　挨穴捷径　杉原敦_ページ_1.jpg")</f>
        <v>き/きょ　虚労　1761　挨穴捷径　杉原敦_ページ_1.jpg</v>
      </c>
    </row>
    <row r="1107" spans="1:2" x14ac:dyDescent="0.15">
      <c r="A1107" t="s">
        <v>1087</v>
      </c>
      <c r="B1107" t="str">
        <f>HYPERLINK("き/きょ　虚労　1761　挨穴捷径　杉原敦_ページ_2.jpg")</f>
        <v>き/きょ　虚労　1761　挨穴捷径　杉原敦_ページ_2.jpg</v>
      </c>
    </row>
    <row r="1108" spans="1:2" x14ac:dyDescent="0.15">
      <c r="A1108" t="s">
        <v>1088</v>
      </c>
      <c r="B1108" t="str">
        <f>HYPERLINK("き/きょ　虚労　1761　挨穴捷径　杉原敦_ページ_3.jpg")</f>
        <v>き/きょ　虚労　1761　挨穴捷径　杉原敦_ページ_3.jpg</v>
      </c>
    </row>
    <row r="1109" spans="1:2" x14ac:dyDescent="0.15">
      <c r="A1109" t="s">
        <v>1089</v>
      </c>
      <c r="B1109" t="str">
        <f>HYPERLINK("き/きょ　虚労　1773　鍼灸手引草　大簡室主人_ページ_1.jpg")</f>
        <v>き/きょ　虚労　1773　鍼灸手引草　大簡室主人_ページ_1.jpg</v>
      </c>
    </row>
    <row r="1110" spans="1:2" x14ac:dyDescent="0.15">
      <c r="A1110" t="s">
        <v>1090</v>
      </c>
      <c r="B1110" t="str">
        <f>HYPERLINK("き/きょ　虚労　1773　鍼灸手引草　大簡室主人_ページ_2.jpg")</f>
        <v>き/きょ　虚労　1773　鍼灸手引草　大簡室主人_ページ_2.jpg</v>
      </c>
    </row>
    <row r="1111" spans="1:2" x14ac:dyDescent="0.15">
      <c r="A1111" t="s">
        <v>1091</v>
      </c>
      <c r="B1111" t="str">
        <f>HYPERLINK("き/きょ　虚労　伝屍（てんし）　1686　鍼灸要法指南　岩田利斎_ページ_1.jpg")</f>
        <v>き/きょ　虚労　伝屍（てんし）　1686　鍼灸要法指南　岩田利斎_ページ_1.jpg</v>
      </c>
    </row>
    <row r="1112" spans="1:2" x14ac:dyDescent="0.15">
      <c r="A1112" t="s">
        <v>1092</v>
      </c>
      <c r="B1112" t="str">
        <f>HYPERLINK("き/きょ　虚労　伝屍（てんし）　1686　鍼灸要法指南　岩田利斎_ページ_2.jpg")</f>
        <v>き/きょ　虚労　伝屍（てんし）　1686　鍼灸要法指南　岩田利斎_ページ_2.jpg</v>
      </c>
    </row>
    <row r="1113" spans="1:2" x14ac:dyDescent="0.15">
      <c r="A1113" t="s">
        <v>1093</v>
      </c>
      <c r="B1113" t="str">
        <f>HYPERLINK("き/きょ　虚労　労擦　1807　続名家灸選　平井庸信_ページ_1.jpg")</f>
        <v>き/きょ　虚労　労擦　1807　続名家灸選　平井庸信_ページ_1.jpg</v>
      </c>
    </row>
    <row r="1114" spans="1:2" x14ac:dyDescent="0.15">
      <c r="A1114" t="s">
        <v>1094</v>
      </c>
      <c r="B1114" t="str">
        <f>HYPERLINK("き/きょ　虚労　労擦　1807　続名家灸選　平井庸信_ページ_2.jpg")</f>
        <v>き/きょ　虚労　労擦　1807　続名家灸選　平井庸信_ページ_2.jpg</v>
      </c>
    </row>
    <row r="1115" spans="1:2" x14ac:dyDescent="0.15">
      <c r="A1115" t="s">
        <v>1095</v>
      </c>
      <c r="B1115" t="str">
        <f>HYPERLINK("き/きょ　虚労　労擦　1807　続名家灸選　平井庸信_ページ_3.jpg")</f>
        <v>き/きょ　虚労　労擦　1807　続名家灸選　平井庸信_ページ_3.jpg</v>
      </c>
    </row>
    <row r="1116" spans="1:2" x14ac:dyDescent="0.15">
      <c r="A1116" t="s">
        <v>1096</v>
      </c>
      <c r="B1116" t="str">
        <f>HYPERLINK("き/きょ　虚労　労擦　1807　続名家灸選　平井庸信_ページ_4.jpg")</f>
        <v>き/きょ　虚労　労擦　1807　続名家灸選　平井庸信_ページ_4.jpg</v>
      </c>
    </row>
    <row r="1117" spans="1:2" x14ac:dyDescent="0.15">
      <c r="A1117" t="s">
        <v>1097</v>
      </c>
      <c r="B1117" t="str">
        <f>HYPERLINK("き/きょ　虚労　骨蒸　1813　名家灸選三編　平井庸信_ページ_1.jpg")</f>
        <v>き/きょ　虚労　骨蒸　1813　名家灸選三編　平井庸信_ページ_1.jpg</v>
      </c>
    </row>
    <row r="1118" spans="1:2" x14ac:dyDescent="0.15">
      <c r="A1118" t="s">
        <v>1098</v>
      </c>
      <c r="B1118" t="str">
        <f>HYPERLINK("き/きょ　虚労　骨蒸　1813　名家灸選三編　平井庸信_ページ_2.jpg")</f>
        <v>き/きょ　虚労　骨蒸　1813　名家灸選三編　平井庸信_ページ_2.jpg</v>
      </c>
    </row>
    <row r="1119" spans="1:2" x14ac:dyDescent="0.15">
      <c r="A1119" t="s">
        <v>1099</v>
      </c>
      <c r="B1119" t="str">
        <f>HYPERLINK("き/きょ　虚労　骨蒸　1813　名家灸選三編　平井庸信_ページ_3.jpg")</f>
        <v>き/きょ　虚労　骨蒸　1813　名家灸選三編　平井庸信_ページ_3.jpg</v>
      </c>
    </row>
    <row r="1120" spans="1:2" x14ac:dyDescent="0.15">
      <c r="A1120" t="s">
        <v>1100</v>
      </c>
      <c r="B1120" t="str">
        <f>HYPERLINK("き/きょ　虚労　骨蒸　1813　名家灸選三編　平井庸信_ページ_4.jpg")</f>
        <v>き/きょ　虚労　骨蒸　1813　名家灸選三編　平井庸信_ページ_4.jpg</v>
      </c>
    </row>
    <row r="1121" spans="1:2" x14ac:dyDescent="0.15">
      <c r="A1121" t="s">
        <v>1101</v>
      </c>
      <c r="B1121" t="str">
        <f>HYPERLINK("き/きょ　虚労　骨蒸　1813　名家灸選三編　平井庸信_ページ_5.jpg")</f>
        <v>き/きょ　虚労　骨蒸　1813　名家灸選三編　平井庸信_ページ_5.jpg</v>
      </c>
    </row>
    <row r="1122" spans="1:2" x14ac:dyDescent="0.15">
      <c r="A1122" t="s">
        <v>1102</v>
      </c>
      <c r="B1122" t="str">
        <f>HYPERLINK("き/きょ　虚労　骨蒸　1813　名家灸選三編　平井庸信_ページ_6.jpg")</f>
        <v>き/きょ　虚労　骨蒸　1813　名家灸選三編　平井庸信_ページ_6.jpg</v>
      </c>
    </row>
    <row r="1123" spans="1:2" x14ac:dyDescent="0.15">
      <c r="A1123" t="s">
        <v>1103</v>
      </c>
      <c r="B1123" t="str">
        <f>HYPERLINK("き/きょ　虚労浮腫　1694　選鍼三要集　杉山和一.jpg")</f>
        <v>き/きょ　虚労浮腫　1694　選鍼三要集　杉山和一.jpg</v>
      </c>
    </row>
    <row r="1124" spans="1:2" x14ac:dyDescent="0.15">
      <c r="A1124" t="s">
        <v>1104</v>
      </c>
      <c r="B1124" t="str">
        <f>HYPERLINK("き/きょ　虚労（きよろう）　らうしやう、又、よわみ　虚衰病　1887（明治20）　鍼灸備要　青山道醇.jpg")</f>
        <v>き/きょ　虚労（きよろう）　らうしやう、又、よわみ　虚衰病　1887（明治20）　鍼灸備要　青山道醇.jpg</v>
      </c>
    </row>
    <row r="1125" spans="1:2" x14ac:dyDescent="0.15">
      <c r="A1125" t="s">
        <v>1105</v>
      </c>
      <c r="B1125" t="str">
        <f>HYPERLINK("き/きょ　虚弱夜起　1329　扁鵲神応鍼灸玉龍経　元・王国瑞_ページ_1.jpg")</f>
        <v>き/きょ　虚弱夜起　1329　扁鵲神応鍼灸玉龍経　元・王国瑞_ページ_1.jpg</v>
      </c>
    </row>
    <row r="1126" spans="1:2" x14ac:dyDescent="0.15">
      <c r="A1126" t="s">
        <v>1106</v>
      </c>
      <c r="B1126" t="str">
        <f>HYPERLINK("き/きょ　虚弱夜起　1329　扁鵲神応鍼灸玉龍経　元・王国瑞_ページ_2.jpg")</f>
        <v>き/きょ　虚弱夜起　1329　扁鵲神応鍼灸玉龍経　元・王国瑞_ページ_2.jpg</v>
      </c>
    </row>
    <row r="1127" spans="1:2" x14ac:dyDescent="0.15">
      <c r="A1127" t="s">
        <v>1107</v>
      </c>
      <c r="B1127" t="str">
        <f>HYPERLINK("き/きょ　虚怯　虚損　労さい　伝屍　1669　鍼灸枢要　山本玄通_ページ_01.jpg")</f>
        <v>き/きょ　虚怯　虚損　労さい　伝屍　1669　鍼灸枢要　山本玄通_ページ_01.jpg</v>
      </c>
    </row>
    <row r="1128" spans="1:2" x14ac:dyDescent="0.15">
      <c r="A1128" t="s">
        <v>1108</v>
      </c>
      <c r="B1128" t="str">
        <f>HYPERLINK("き/きょ　虚怯　虚損　労さい　伝屍　1669　鍼灸枢要　山本玄通_ページ_02.jpg")</f>
        <v>き/きょ　虚怯　虚損　労さい　伝屍　1669　鍼灸枢要　山本玄通_ページ_02.jpg</v>
      </c>
    </row>
    <row r="1129" spans="1:2" x14ac:dyDescent="0.15">
      <c r="A1129" t="s">
        <v>1109</v>
      </c>
      <c r="B1129" t="str">
        <f>HYPERLINK("き/きょ　虚怯　虚損　労さい　伝屍　1669　鍼灸枢要　山本玄通_ページ_03.jpg")</f>
        <v>き/きょ　虚怯　虚損　労さい　伝屍　1669　鍼灸枢要　山本玄通_ページ_03.jpg</v>
      </c>
    </row>
    <row r="1130" spans="1:2" x14ac:dyDescent="0.15">
      <c r="A1130" t="s">
        <v>1110</v>
      </c>
      <c r="B1130" t="str">
        <f>HYPERLINK("き/きょ　虚怯　虚損　労さい　伝屍　1669　鍼灸枢要　山本玄通_ページ_04.jpg")</f>
        <v>き/きょ　虚怯　虚損　労さい　伝屍　1669　鍼灸枢要　山本玄通_ページ_04.jpg</v>
      </c>
    </row>
    <row r="1131" spans="1:2" x14ac:dyDescent="0.15">
      <c r="A1131" t="s">
        <v>1111</v>
      </c>
      <c r="B1131" t="str">
        <f>HYPERLINK("き/きょ　虚怯　虚損　労さい　伝屍　1669　鍼灸枢要　山本玄通_ページ_05.jpg")</f>
        <v>き/きょ　虚怯　虚損　労さい　伝屍　1669　鍼灸枢要　山本玄通_ページ_05.jpg</v>
      </c>
    </row>
    <row r="1132" spans="1:2" x14ac:dyDescent="0.15">
      <c r="A1132" t="s">
        <v>1112</v>
      </c>
      <c r="B1132" t="str">
        <f>HYPERLINK("き/きょ　虚怯　虚損　労さい　伝屍　1669　鍼灸枢要　山本玄通_ページ_06.jpg")</f>
        <v>き/きょ　虚怯　虚損　労さい　伝屍　1669　鍼灸枢要　山本玄通_ページ_06.jpg</v>
      </c>
    </row>
    <row r="1133" spans="1:2" x14ac:dyDescent="0.15">
      <c r="A1133" t="s">
        <v>1113</v>
      </c>
      <c r="B1133" t="str">
        <f>HYPERLINK("き/きょ　虚怯　虚損　労さい　伝屍　1669　鍼灸枢要　山本玄通_ページ_07.jpg")</f>
        <v>き/きょ　虚怯　虚損　労さい　伝屍　1669　鍼灸枢要　山本玄通_ページ_07.jpg</v>
      </c>
    </row>
    <row r="1134" spans="1:2" x14ac:dyDescent="0.15">
      <c r="A1134" t="s">
        <v>1114</v>
      </c>
      <c r="B1134" t="str">
        <f>HYPERLINK("き/きょ　虚怯　虚損　労さい　伝屍　1669　鍼灸枢要　山本玄通_ページ_08.jpg")</f>
        <v>き/きょ　虚怯　虚損　労さい　伝屍　1669　鍼灸枢要　山本玄通_ページ_08.jpg</v>
      </c>
    </row>
    <row r="1135" spans="1:2" x14ac:dyDescent="0.15">
      <c r="A1135" t="s">
        <v>1115</v>
      </c>
      <c r="B1135" t="str">
        <f>HYPERLINK("き/きょ　虚怯　虚損　労さい　伝屍　1669　鍼灸枢要　山本玄通_ページ_09.jpg")</f>
        <v>き/きょ　虚怯　虚損　労さい　伝屍　1669　鍼灸枢要　山本玄通_ページ_09.jpg</v>
      </c>
    </row>
    <row r="1136" spans="1:2" x14ac:dyDescent="0.15">
      <c r="A1136" t="s">
        <v>1116</v>
      </c>
      <c r="B1136" t="str">
        <f>HYPERLINK("き/きょ　虚怯　虚損　労さい　伝屍　1669　鍼灸枢要　山本玄通_ページ_10.jpg")</f>
        <v>き/きょ　虚怯　虚損　労さい　伝屍　1669　鍼灸枢要　山本玄通_ページ_10.jpg</v>
      </c>
    </row>
    <row r="1137" spans="1:2" x14ac:dyDescent="0.15">
      <c r="A1137" t="s">
        <v>1117</v>
      </c>
      <c r="B1137" t="str">
        <f>HYPERLINK("き/きょ　虚怯　虚損　労さい　伝屍　1669　鍼灸枢要　山本玄通_ページ_11.jpg")</f>
        <v>き/きょ　虚怯　虚損　労さい　伝屍　1669　鍼灸枢要　山本玄通_ページ_11.jpg</v>
      </c>
    </row>
    <row r="1138" spans="1:2" x14ac:dyDescent="0.15">
      <c r="A1138" t="s">
        <v>1118</v>
      </c>
      <c r="B1138" t="str">
        <f>HYPERLINK("き/きょ　虚怯　虚損　労さい　伝屍　1800　鍼灸備要　小坂元祐_ページ_1.jpg")</f>
        <v>き/きょ　虚怯　虚損　労さい　伝屍　1800　鍼灸備要　小坂元祐_ページ_1.jpg</v>
      </c>
    </row>
    <row r="1139" spans="1:2" x14ac:dyDescent="0.15">
      <c r="A1139" t="s">
        <v>1119</v>
      </c>
      <c r="B1139" t="str">
        <f>HYPERLINK("き/きょ　虚怯　虚損　労さい　伝屍　1800　鍼灸備要　小坂元祐_ページ_2.jpg")</f>
        <v>き/きょ　虚怯　虚損　労さい　伝屍　1800　鍼灸備要　小坂元祐_ページ_2.jpg</v>
      </c>
    </row>
    <row r="1140" spans="1:2" x14ac:dyDescent="0.15">
      <c r="A1140" t="s">
        <v>1120</v>
      </c>
      <c r="B1140" t="str">
        <f>HYPERLINK("き/きょ　虚怯　虚損　労さい　伝屍　1800　鍼灸備要　小坂元祐_ページ_3.jpg")</f>
        <v>き/きょ　虚怯　虚損　労さい　伝屍　1800　鍼灸備要　小坂元祐_ページ_3.jpg</v>
      </c>
    </row>
    <row r="1141" spans="1:2" x14ac:dyDescent="0.15">
      <c r="A1141" t="s">
        <v>1121</v>
      </c>
      <c r="B1141" t="str">
        <f>HYPERLINK("き/きょ　虚損　1220　鍼灸資生経　王執中_ページ_1.jpg")</f>
        <v>き/きょ　虚損　1220　鍼灸資生経　王執中_ページ_1.jpg</v>
      </c>
    </row>
    <row r="1142" spans="1:2" x14ac:dyDescent="0.15">
      <c r="A1142" t="s">
        <v>1122</v>
      </c>
      <c r="B1142" t="str">
        <f>HYPERLINK("き/きょ　虚損　1220　鍼灸資生経　王執中_ページ_2.jpg")</f>
        <v>き/きょ　虚損　1220　鍼灸資生経　王執中_ページ_2.jpg</v>
      </c>
    </row>
    <row r="1143" spans="1:2" x14ac:dyDescent="0.15">
      <c r="A1143" t="s">
        <v>1123</v>
      </c>
      <c r="B1143" t="str">
        <f>HYPERLINK("き/きょ　虚損　1220　鍼灸資生経　王執中_ページ_3.jpg")</f>
        <v>き/きょ　虚損　1220　鍼灸資生経　王執中_ページ_3.jpg</v>
      </c>
    </row>
    <row r="1144" spans="1:2" x14ac:dyDescent="0.15">
      <c r="A1144" t="s">
        <v>1124</v>
      </c>
      <c r="B1144" t="str">
        <f>HYPERLINK("き/きょ　虚損　1220　鍼灸資生経　王執中_ページ_4.jpg")</f>
        <v>き/きょ　虚損　1220　鍼灸資生経　王執中_ページ_4.jpg</v>
      </c>
    </row>
    <row r="1145" spans="1:2" x14ac:dyDescent="0.15">
      <c r="A1145" t="s">
        <v>1125</v>
      </c>
      <c r="B1145" t="str">
        <f>HYPERLINK("き/きょ　虚損　1220　鍼灸資生経　王執中_ページ_5.jpg")</f>
        <v>き/きょ　虚損　1220　鍼灸資生経　王執中_ページ_5.jpg</v>
      </c>
    </row>
    <row r="1146" spans="1:2" x14ac:dyDescent="0.15">
      <c r="A1146" t="s">
        <v>1126</v>
      </c>
      <c r="B1146" t="str">
        <f>HYPERLINK("き/きょ　虚損　1220　鍼灸資生経　王執中_ページ_6.jpg")</f>
        <v>き/きょ　虚損　1220　鍼灸資生経　王執中_ページ_6.jpg</v>
      </c>
    </row>
    <row r="1147" spans="1:2" x14ac:dyDescent="0.15">
      <c r="A1147" t="s">
        <v>1127</v>
      </c>
      <c r="B1147" t="str">
        <f>HYPERLINK("き/きょ　虚損　1680　鍼灸抜萃　著者未詳.jpg")</f>
        <v>き/きょ　虚損　1680　鍼灸抜萃　著者未詳.jpg</v>
      </c>
    </row>
    <row r="1148" spans="1:2" x14ac:dyDescent="0.15">
      <c r="A1148" t="s">
        <v>1128</v>
      </c>
      <c r="B1148" t="str">
        <f>HYPERLINK("き/きょ　虚損　1693　鍼灸要歌集　安井昌玄_ページ_1.jpg")</f>
        <v>き/きょ　虚損　1693　鍼灸要歌集　安井昌玄_ページ_1.jpg</v>
      </c>
    </row>
    <row r="1149" spans="1:2" x14ac:dyDescent="0.15">
      <c r="A1149" t="s">
        <v>1129</v>
      </c>
      <c r="B1149" t="str">
        <f>HYPERLINK("き/きょ　虚損　1693　鍼灸要歌集　安井昌玄_ページ_2.jpg")</f>
        <v>き/きょ　虚損　1693　鍼灸要歌集　安井昌玄_ページ_2.jpg</v>
      </c>
    </row>
    <row r="1150" spans="1:2" x14ac:dyDescent="0.15">
      <c r="A1150" t="s">
        <v>1130</v>
      </c>
      <c r="B1150" t="str">
        <f>HYPERLINK("き/きょ　虚損　1696　広益鍼灸抜萃　著者未詳_ページ_1.jpg")</f>
        <v>き/きょ　虚損　1696　広益鍼灸抜萃　著者未詳_ページ_1.jpg</v>
      </c>
    </row>
    <row r="1151" spans="1:2" x14ac:dyDescent="0.15">
      <c r="A1151" t="s">
        <v>1131</v>
      </c>
      <c r="B1151" t="str">
        <f>HYPERLINK("き/きょ　虚損　1696　広益鍼灸抜萃　著者未詳_ページ_2.jpg")</f>
        <v>き/きょ　虚損　1696　広益鍼灸抜萃　著者未詳_ページ_2.jpg</v>
      </c>
    </row>
    <row r="1152" spans="1:2" x14ac:dyDescent="0.15">
      <c r="A1152" t="s">
        <v>1132</v>
      </c>
      <c r="B1152" t="str">
        <f>HYPERLINK("き/きょ　虚損　1718　よはみ　鍼灸重宝記　本郷正豊.jpg")</f>
        <v>き/きょ　虚損　1718　よはみ　鍼灸重宝記　本郷正豊.jpg</v>
      </c>
    </row>
    <row r="1153" spans="1:2" x14ac:dyDescent="0.15">
      <c r="A1153" t="s">
        <v>1133</v>
      </c>
      <c r="B1153" t="str">
        <f>HYPERLINK("き/きょ　虚損　成書年未詳　経穴図解　著者未詳.jpg")</f>
        <v>き/きょ　虚損　成書年未詳　経穴図解　著者未詳.jpg</v>
      </c>
    </row>
    <row r="1154" spans="1:2" x14ac:dyDescent="0.15">
      <c r="A1154" t="s">
        <v>1134</v>
      </c>
      <c r="B1154" t="str">
        <f>HYPERLINK("き/きょ　虚煩　1329　扁鵲神応鍼灸玉龍経　元・王国瑞.jpg")</f>
        <v>き/きょ　虚煩　1329　扁鵲神応鍼灸玉龍経　元・王国瑞.jpg</v>
      </c>
    </row>
    <row r="1155" spans="1:2" x14ac:dyDescent="0.15">
      <c r="A1155" t="s">
        <v>1135</v>
      </c>
      <c r="B1155" t="str">
        <f>HYPERLINK("き/きょ　虚煩　成書年未詳　灸穴集　著者未詳.jpg")</f>
        <v>き/きょ　虚煩　成書年未詳　灸穴集　著者未詳.jpg</v>
      </c>
    </row>
    <row r="1156" spans="1:2" x14ac:dyDescent="0.15">
      <c r="A1156" t="s">
        <v>1136</v>
      </c>
      <c r="B1156" t="str">
        <f>HYPERLINK("き/きょう　狂　1765　鍼法弁惑　藤井秀孟_ページ_1.jpg")</f>
        <v>き/きょう　狂　1765　鍼法弁惑　藤井秀孟_ページ_1.jpg</v>
      </c>
    </row>
    <row r="1157" spans="1:2" x14ac:dyDescent="0.15">
      <c r="A1157" t="s">
        <v>1137</v>
      </c>
      <c r="B1157" t="str">
        <f>HYPERLINK("き/きょう　狂　1765　鍼法弁惑　藤井秀孟_ページ_2.jpg")</f>
        <v>き/きょう　狂　1765　鍼法弁惑　藤井秀孟_ページ_2.jpg</v>
      </c>
    </row>
    <row r="1158" spans="1:2" x14ac:dyDescent="0.15">
      <c r="A1158" t="s">
        <v>1138</v>
      </c>
      <c r="B1158" t="str">
        <f>HYPERLINK("き/きょう　狂　1765　鍼法弁惑　藤井秀孟_ページ_3.jpg")</f>
        <v>き/きょう　狂　1765　鍼法弁惑　藤井秀孟_ページ_3.jpg</v>
      </c>
    </row>
    <row r="1159" spans="1:2" x14ac:dyDescent="0.15">
      <c r="A1159" t="s">
        <v>1139</v>
      </c>
      <c r="B1159" t="str">
        <f>HYPERLINK("き/きょう　狂乱　1773　鍼灸手引草　大簡室主人.jpg")</f>
        <v>き/きょう　狂乱　1773　鍼灸手引草　大簡室主人.jpg</v>
      </c>
    </row>
    <row r="1160" spans="1:2" x14ac:dyDescent="0.15">
      <c r="A1160" t="s">
        <v>1140</v>
      </c>
      <c r="B1160" t="str">
        <f>HYPERLINK("き/きょう　狂乱　　1792　鍼法要集　源長起.jpg")</f>
        <v>き/きょう　狂乱　　1792　鍼法要集　源長起.jpg</v>
      </c>
    </row>
    <row r="1161" spans="1:2" x14ac:dyDescent="0.15">
      <c r="A1161" t="s">
        <v>1141</v>
      </c>
      <c r="B1161" t="str">
        <f>HYPERLINK("き/きょう　狂乱　きちがひ　1718　鍼灸重宝記　本郷正豊.jpg")</f>
        <v>き/きょう　狂乱　きちがひ　1718　鍼灸重宝記　本郷正豊.jpg</v>
      </c>
    </row>
    <row r="1162" spans="1:2" x14ac:dyDescent="0.15">
      <c r="A1162" t="s">
        <v>1142</v>
      </c>
      <c r="B1162" t="str">
        <f>HYPERLINK("き/きょう　狂乱　成書年未詳　経穴図解　著者未詳.jpg")</f>
        <v>き/きょう　狂乱　成書年未詳　経穴図解　著者未詳.jpg</v>
      </c>
    </row>
    <row r="1163" spans="1:2" x14ac:dyDescent="0.15">
      <c r="A1163" t="s">
        <v>1143</v>
      </c>
      <c r="B1163" t="str">
        <f>HYPERLINK("き/きょう　狂気　1607　扁鵲新流鍼書　越齋寿閑.jpg")</f>
        <v>き/きょう　狂気　1607　扁鵲新流鍼書　越齋寿閑.jpg</v>
      </c>
    </row>
    <row r="1164" spans="1:2" x14ac:dyDescent="0.15">
      <c r="A1164" t="s">
        <v>1144</v>
      </c>
      <c r="B1164" t="str">
        <f>HYPERLINK("き/きょう　狂犬所咬　1226　備急灸法　宋・聞人耆年_ページ_1.jpg")</f>
        <v>き/きょう　狂犬所咬　1226　備急灸法　宋・聞人耆年_ページ_1.jpg</v>
      </c>
    </row>
    <row r="1165" spans="1:2" x14ac:dyDescent="0.15">
      <c r="A1165" t="s">
        <v>1145</v>
      </c>
      <c r="B1165" t="str">
        <f>HYPERLINK("き/きょう　狂犬所咬　1226　備急灸法　宋・聞人耆年_ページ_2.jpg")</f>
        <v>き/きょう　狂犬所咬　1226　備急灸法　宋・聞人耆年_ページ_2.jpg</v>
      </c>
    </row>
    <row r="1166" spans="1:2" x14ac:dyDescent="0.15">
      <c r="A1166" t="s">
        <v>1146</v>
      </c>
      <c r="B1166" t="str">
        <f>HYPERLINK("き/きょう　狂疾　1785　鍼書　本城義軒.jpg")</f>
        <v>き/きょう　狂疾　1785　鍼書　本城義軒.jpg</v>
      </c>
    </row>
    <row r="1167" spans="1:2" x14ac:dyDescent="0.15">
      <c r="A1167" t="s">
        <v>1147</v>
      </c>
      <c r="B1167" t="str">
        <f>HYPERLINK("き/きょう　狂症　成書年未詳　灸穴集　著者未詳_ページ_1.jpg")</f>
        <v>き/きょう　狂症　成書年未詳　灸穴集　著者未詳_ページ_1.jpg</v>
      </c>
    </row>
    <row r="1168" spans="1:2" x14ac:dyDescent="0.15">
      <c r="A1168" t="s">
        <v>1148</v>
      </c>
      <c r="B1168" t="str">
        <f>HYPERLINK("き/きょう　狂症　成書年未詳　灸穴集　著者未詳_ページ_2.jpg")</f>
        <v>き/きょう　狂症　成書年未詳　灸穴集　著者未詳_ページ_2.jpg</v>
      </c>
    </row>
    <row r="1169" spans="1:2" x14ac:dyDescent="0.15">
      <c r="A1169" t="s">
        <v>1149</v>
      </c>
      <c r="B1169" t="str">
        <f>HYPERLINK("き/きょう　狂症　成書年未詳　灸穴集　著者未詳_ページ_3.jpg")</f>
        <v>き/きょう　狂症　成書年未詳　灸穴集　著者未詳_ページ_3.jpg</v>
      </c>
    </row>
    <row r="1170" spans="1:2" x14ac:dyDescent="0.15">
      <c r="A1170" t="s">
        <v>1150</v>
      </c>
      <c r="B1170" t="str">
        <f>HYPERLINK("き/きょう　狂症　成書年未詳　灸穴集　著者未詳_ページ_4.jpg")</f>
        <v>き/きょう　狂症　成書年未詳　灸穴集　著者未詳_ページ_4.jpg</v>
      </c>
    </row>
    <row r="1171" spans="1:2" x14ac:dyDescent="0.15">
      <c r="A1171" t="s">
        <v>1151</v>
      </c>
      <c r="B1171" t="str">
        <f>HYPERLINK("き/きょう　狂症　成書年未詳　灸穴集　著者未詳_ページ_5.jpg")</f>
        <v>き/きょう　狂症　成書年未詳　灸穴集　著者未詳_ページ_5.jpg</v>
      </c>
    </row>
    <row r="1172" spans="1:2" x14ac:dyDescent="0.15">
      <c r="A1172" t="s">
        <v>1152</v>
      </c>
      <c r="B1172" t="str">
        <f>HYPERLINK("き/きょう　狂症　成書年未詳　灸穴集　著者未詳_ページ_6.jpg")</f>
        <v>き/きょう　狂症　成書年未詳　灸穴集　著者未詳_ページ_6.jpg</v>
      </c>
    </row>
    <row r="1173" spans="1:2" x14ac:dyDescent="0.15">
      <c r="A1173" t="s">
        <v>1153</v>
      </c>
      <c r="B1173" t="str">
        <f>HYPERLINK("き/きょう　狂癇　1624　類経図翼　明・張介賓_ページ_1.jpg")</f>
        <v>き/きょう　狂癇　1624　類経図翼　明・張介賓_ページ_1.jpg</v>
      </c>
    </row>
    <row r="1174" spans="1:2" x14ac:dyDescent="0.15">
      <c r="A1174" t="s">
        <v>1154</v>
      </c>
      <c r="B1174" t="str">
        <f>HYPERLINK("き/きょう　狂癇　1624　類経図翼　明・張介賓_ページ_2.jpg")</f>
        <v>き/きょう　狂癇　1624　類経図翼　明・張介賓_ページ_2.jpg</v>
      </c>
    </row>
    <row r="1175" spans="1:2" x14ac:dyDescent="0.15">
      <c r="A1175" t="s">
        <v>1155</v>
      </c>
      <c r="B1175" t="str">
        <f>HYPERLINK("き/きょう　狂癇　1624　類経図翼　明・張介賓_ページ_3.jpg")</f>
        <v>き/きょう　狂癇　1624　類経図翼　明・張介賓_ページ_3.jpg</v>
      </c>
    </row>
    <row r="1176" spans="1:2" x14ac:dyDescent="0.15">
      <c r="A1176" t="s">
        <v>1156</v>
      </c>
      <c r="B1176" t="str">
        <f>HYPERLINK("き/きょう　狂癇　1761　挨穴捷径　杉原敦_ページ_1.jpg")</f>
        <v>き/きょう　狂癇　1761　挨穴捷径　杉原敦_ページ_1.jpg</v>
      </c>
    </row>
    <row r="1177" spans="1:2" x14ac:dyDescent="0.15">
      <c r="A1177" t="s">
        <v>1157</v>
      </c>
      <c r="B1177" t="str">
        <f>HYPERLINK("き/きょう　狂癇　1761　挨穴捷径　杉原敦_ページ_2.jpg")</f>
        <v>き/きょう　狂癇　1761　挨穴捷径　杉原敦_ページ_2.jpg</v>
      </c>
    </row>
    <row r="1178" spans="1:2" x14ac:dyDescent="0.15">
      <c r="A1178" t="s">
        <v>1158</v>
      </c>
      <c r="B1178" t="str">
        <f>HYPERLINK("き/きょう　狂癇　1761　挨穴捷径　杉原敦_ページ_3.jpg")</f>
        <v>き/きょう　狂癇　1761　挨穴捷径　杉原敦_ページ_3.jpg</v>
      </c>
    </row>
    <row r="1179" spans="1:2" x14ac:dyDescent="0.15">
      <c r="A1179" t="s">
        <v>1159</v>
      </c>
      <c r="B1179" t="str">
        <f>HYPERLINK("き/きょう　狂癲　1792　鍼法要集　源長起_ページ_1.jpg")</f>
        <v>き/きょう　狂癲　1792　鍼法要集　源長起_ページ_1.jpg</v>
      </c>
    </row>
    <row r="1180" spans="1:2" x14ac:dyDescent="0.15">
      <c r="A1180" t="s">
        <v>1160</v>
      </c>
      <c r="B1180" t="str">
        <f>HYPERLINK("き/きょう　狂癲　1792　鍼法要集　源長起_ページ_2.jpg")</f>
        <v>き/きょう　狂癲　1792　鍼法要集　源長起_ページ_2.jpg</v>
      </c>
    </row>
    <row r="1181" spans="1:2" x14ac:dyDescent="0.15">
      <c r="A1181" t="s">
        <v>1161</v>
      </c>
      <c r="B1181" t="str">
        <f>HYPERLINK("き/きょう　狂（きよう）　らんしんもの、又、ものくるい　癲狂病、又、狂疾　1887（明治20）　鍼灸備要　青山道醇.jpg")</f>
        <v>き/きょう　狂（きよう）　らんしんもの、又、ものくるい　癲狂病、又、狂疾　1887（明治20）　鍼灸備要　青山道醇.jpg</v>
      </c>
    </row>
    <row r="1182" spans="1:2" x14ac:dyDescent="0.15">
      <c r="A1182" t="s">
        <v>1162</v>
      </c>
      <c r="B1182" t="str">
        <f>HYPERLINK("き/きょう　胸　胸痛　胸満　胸痺　1669　鍼灸枢要　山本玄通_ページ_1.jpg")</f>
        <v>き/きょう　胸　胸痛　胸満　胸痺　1669　鍼灸枢要　山本玄通_ページ_1.jpg</v>
      </c>
    </row>
    <row r="1183" spans="1:2" x14ac:dyDescent="0.15">
      <c r="A1183" t="s">
        <v>1163</v>
      </c>
      <c r="B1183" t="str">
        <f>HYPERLINK("き/きょう　胸　胸痛　胸満　胸痺　1669　鍼灸枢要　山本玄通_ページ_2.jpg")</f>
        <v>き/きょう　胸　胸痛　胸満　胸痺　1669　鍼灸枢要　山本玄通_ページ_2.jpg</v>
      </c>
    </row>
    <row r="1184" spans="1:2" x14ac:dyDescent="0.15">
      <c r="A1184" t="s">
        <v>1164</v>
      </c>
      <c r="B1184" t="str">
        <f>HYPERLINK("き/きょう　胸　胸痛　胸満　胸痺　1669　鍼灸枢要　山本玄通_ページ_3.jpg")</f>
        <v>き/きょう　胸　胸痛　胸満　胸痺　1669　鍼灸枢要　山本玄通_ページ_3.jpg</v>
      </c>
    </row>
    <row r="1185" spans="1:2" x14ac:dyDescent="0.15">
      <c r="A1185" t="s">
        <v>1165</v>
      </c>
      <c r="B1185" t="str">
        <f>HYPERLINK("き/きょう　胸　胸痛　胸満　胸痺　1669　鍼灸枢要　山本玄通_ページ_4.jpg")</f>
        <v>き/きょう　胸　胸痛　胸満　胸痺　1669　鍼灸枢要　山本玄通_ページ_4.jpg</v>
      </c>
    </row>
    <row r="1186" spans="1:2" x14ac:dyDescent="0.15">
      <c r="A1186" t="s">
        <v>1166</v>
      </c>
      <c r="B1186" t="str">
        <f>HYPERLINK("き/きょう　胸　胸痛　胸満　胸痺　1669　鍼灸枢要　山本玄通_ページ_5.jpg")</f>
        <v>き/きょう　胸　胸痛　胸満　胸痺　1669　鍼灸枢要　山本玄通_ページ_5.jpg</v>
      </c>
    </row>
    <row r="1187" spans="1:2" x14ac:dyDescent="0.15">
      <c r="A1187" t="s">
        <v>1167</v>
      </c>
      <c r="B1187" t="str">
        <f>HYPERLINK("き/きょう　胸　胸痛　胸満　胸痺　1669　鍼灸枢要　山本玄通_ページ_6.jpg")</f>
        <v>き/きょう　胸　胸痛　胸満　胸痺　1669　鍼灸枢要　山本玄通_ページ_6.jpg</v>
      </c>
    </row>
    <row r="1188" spans="1:2" x14ac:dyDescent="0.15">
      <c r="A1188" t="s">
        <v>1168</v>
      </c>
      <c r="B1188" t="str">
        <f>HYPERLINK("き/きょう　胸　胸痛　胸満　胸痺　1669　鍼灸枢要　山本玄通_ページ_7.jpg")</f>
        <v>き/きょう　胸　胸痛　胸満　胸痺　1669　鍼灸枢要　山本玄通_ページ_7.jpg</v>
      </c>
    </row>
    <row r="1189" spans="1:2" x14ac:dyDescent="0.15">
      <c r="A1189" t="s">
        <v>1169</v>
      </c>
      <c r="B1189" t="str">
        <f>HYPERLINK("き/きょう　胸　胸痛　胸満　胸痺　1669　鍼灸枢要　山本玄通_ページ_8.jpg")</f>
        <v>き/きょう　胸　胸痛　胸満　胸痺　1669　鍼灸枢要　山本玄通_ページ_8.jpg</v>
      </c>
    </row>
    <row r="1190" spans="1:2" x14ac:dyDescent="0.15">
      <c r="A1190" t="s">
        <v>1170</v>
      </c>
      <c r="B1190" t="str">
        <f>HYPERLINK("き/きょう　胸中痰飲，蠱毒，霍乱，驚悸，腹脹暴痛，恍惚不止，吐逆不食　1315　鍼経摘英集　元・杜思敬「済生抜粋方」.jpg")</f>
        <v>き/きょう　胸中痰飲，蠱毒，霍乱，驚悸，腹脹暴痛，恍惚不止，吐逆不食　1315　鍼経摘英集　元・杜思敬「済生抜粋方」.jpg</v>
      </c>
    </row>
    <row r="1191" spans="1:2" x14ac:dyDescent="0.15">
      <c r="A1191" t="s">
        <v>1171</v>
      </c>
      <c r="B1191" t="str">
        <f>HYPERLINK("き/きょう　胸満　1220　鍼灸資生経　王執中_ページ_1.jpg")</f>
        <v>き/きょう　胸満　1220　鍼灸資生経　王執中_ページ_1.jpg</v>
      </c>
    </row>
    <row r="1192" spans="1:2" x14ac:dyDescent="0.15">
      <c r="A1192" t="s">
        <v>1172</v>
      </c>
      <c r="B1192" t="str">
        <f>HYPERLINK("き/きょう　胸満　1220　鍼灸資生経　王執中_ページ_2.jpg")</f>
        <v>き/きょう　胸満　1220　鍼灸資生経　王執中_ページ_2.jpg</v>
      </c>
    </row>
    <row r="1193" spans="1:2" x14ac:dyDescent="0.15">
      <c r="A1193" t="s">
        <v>1173</v>
      </c>
      <c r="B1193" t="str">
        <f>HYPERLINK("き/きょう　胸満　1220　鍼灸資生経　王執中_ページ_3.jpg")</f>
        <v>き/きょう　胸満　1220　鍼灸資生経　王執中_ページ_3.jpg</v>
      </c>
    </row>
    <row r="1194" spans="1:2" x14ac:dyDescent="0.15">
      <c r="A1194" t="s">
        <v>1174</v>
      </c>
      <c r="B1194" t="str">
        <f>HYPERLINK("き/きょう　胸満　1794　杉山流鍼術　島浦和田一.jpg")</f>
        <v>き/きょう　胸満　1794　杉山流鍼術　島浦和田一.jpg</v>
      </c>
    </row>
    <row r="1195" spans="1:2" x14ac:dyDescent="0.15">
      <c r="A1195" t="s">
        <v>1175</v>
      </c>
      <c r="B1195" t="str">
        <f>HYPERLINK("き/きょう　胸痛　1794　杉山流鍼術　島浦和田一.jpg")</f>
        <v>き/きょう　胸痛　1794　杉山流鍼術　島浦和田一.jpg</v>
      </c>
    </row>
    <row r="1196" spans="1:2" x14ac:dyDescent="0.15">
      <c r="A1196" t="s">
        <v>1176</v>
      </c>
      <c r="B1196" t="str">
        <f>HYPERLINK("き/きょう　胸痛　むねのいたみ　1780　鍼灸極秘伝　木村太沖.jpg")</f>
        <v>き/きょう　胸痛　むねのいたみ　1780　鍼灸極秘伝　木村太沖.jpg</v>
      </c>
    </row>
    <row r="1197" spans="1:2" x14ac:dyDescent="0.15">
      <c r="A1197" t="s">
        <v>1177</v>
      </c>
      <c r="B1197" t="str">
        <f>HYPERLINK("き/きょう　胸痛　むねのいたみ　胸膜炎　1887（明治20）　鍼灸備要　青山道醇.jpg")</f>
        <v>き/きょう　胸痛　むねのいたみ　胸膜炎　1887（明治20）　鍼灸備要　青山道醇.jpg</v>
      </c>
    </row>
    <row r="1198" spans="1:2" x14ac:dyDescent="0.15">
      <c r="A1198" t="s">
        <v>1178</v>
      </c>
      <c r="B1198" t="str">
        <f>HYPERLINK("き/きょう　胸痛　心痛　脇痺　成書年未詳　経穴図解　著者未詳_ページ_1.jpg")</f>
        <v>き/きょう　胸痛　心痛　脇痺　成書年未詳　経穴図解　著者未詳_ページ_1.jpg</v>
      </c>
    </row>
    <row r="1199" spans="1:2" x14ac:dyDescent="0.15">
      <c r="A1199" t="s">
        <v>1179</v>
      </c>
      <c r="B1199" t="str">
        <f>HYPERLINK("き/きょう　胸痛　心痛　脇痺　成書年未詳　経穴図解　著者未詳_ページ_2.jpg")</f>
        <v>き/きょう　胸痛　心痛　脇痺　成書年未詳　経穴図解　著者未詳_ページ_2.jpg</v>
      </c>
    </row>
    <row r="1200" spans="1:2" x14ac:dyDescent="0.15">
      <c r="A1200" t="s">
        <v>1180</v>
      </c>
      <c r="B1200" t="str">
        <f>HYPERLINK("き/きょう　胸痛　胸満　胸痺　1800　鍼灸備要　小坂元祐_ページ_1.jpg")</f>
        <v>き/きょう　胸痛　胸満　胸痺　1800　鍼灸備要　小坂元祐_ページ_1.jpg</v>
      </c>
    </row>
    <row r="1201" spans="1:2" x14ac:dyDescent="0.15">
      <c r="A1201" t="s">
        <v>1181</v>
      </c>
      <c r="B1201" t="str">
        <f>HYPERLINK("き/きょう　胸痛　胸満　胸痺　1800　鍼灸備要　小坂元祐_ページ_2.jpg")</f>
        <v>き/きょう　胸痛　胸満　胸痺　1800　鍼灸備要　小坂元祐_ページ_2.jpg</v>
      </c>
    </row>
    <row r="1202" spans="1:2" x14ac:dyDescent="0.15">
      <c r="A1202" t="s">
        <v>1182</v>
      </c>
      <c r="B1202" t="str">
        <f>HYPERLINK("き/きょう　胸痛　胸満　胸痺　1800　鍼灸備要　小坂元祐_ページ_3.jpg")</f>
        <v>き/きょう　胸痛　胸満　胸痺　1800　鍼灸備要　小坂元祐_ページ_3.jpg</v>
      </c>
    </row>
    <row r="1203" spans="1:2" x14ac:dyDescent="0.15">
      <c r="A1203" t="s">
        <v>1183</v>
      </c>
      <c r="B1203" t="str">
        <f>HYPERLINK("き/きょう　胸痛　胸満　胸痺　1800　鍼灸備要　小坂元祐_ページ_4.jpg")</f>
        <v>き/きょう　胸痛　胸満　胸痺　1800　鍼灸備要　小坂元祐_ページ_4.jpg</v>
      </c>
    </row>
    <row r="1204" spans="1:2" x14ac:dyDescent="0.15">
      <c r="A1204" t="s">
        <v>1184</v>
      </c>
      <c r="B1204" t="str">
        <f>HYPERLINK("き/きょう　胸痛み口噤する者　むねいたみて、とりつめたる人　1780　鍼灸極秘伝　木村太沖.jpg")</f>
        <v>き/きょう　胸痛み口噤する者　むねいたみて、とりつめたる人　1780　鍼灸極秘伝　木村太沖.jpg</v>
      </c>
    </row>
    <row r="1205" spans="1:2" x14ac:dyDescent="0.15">
      <c r="A1205" t="s">
        <v>1185</v>
      </c>
      <c r="B1205" t="str">
        <f>HYPERLINK("き/きょう　胸肋痛　あばらぼねのいたむ病　肋間神経痛　1887（明治20）　鍼灸備要　青山道醇.jpg")</f>
        <v>き/きょう　胸肋痛　あばらぼねのいたむ病　肋間神経痛　1887（明治20）　鍼灸備要　青山道醇.jpg</v>
      </c>
    </row>
    <row r="1206" spans="1:2" x14ac:dyDescent="0.15">
      <c r="A1206" t="s">
        <v>1186</v>
      </c>
      <c r="B1206" t="str">
        <f>HYPERLINK("き/きょう　胸背脇部　1425　神応経　明・陳会撰・劉瑾重校_ページ_1.jpg")</f>
        <v>き/きょう　胸背脇部　1425　神応経　明・陳会撰・劉瑾重校_ページ_1.jpg</v>
      </c>
    </row>
    <row r="1207" spans="1:2" x14ac:dyDescent="0.15">
      <c r="A1207" t="s">
        <v>1187</v>
      </c>
      <c r="B1207" t="str">
        <f>HYPERLINK("き/きょう　胸背脇部　1425　神応経　明・陳会撰・劉瑾重校_ページ_2.jpg")</f>
        <v>き/きょう　胸背脇部　1425　神応経　明・陳会撰・劉瑾重校_ページ_2.jpg</v>
      </c>
    </row>
    <row r="1208" spans="1:2" x14ac:dyDescent="0.15">
      <c r="A1208" t="s">
        <v>1188</v>
      </c>
      <c r="B1208" t="str">
        <f>HYPERLINK("き/きょう　胸背脇部　1425　神応経　明・陳会撰・劉瑾重校_ページ_3.jpg")</f>
        <v>き/きょう　胸背脇部　1425　神応経　明・陳会撰・劉瑾重校_ページ_3.jpg</v>
      </c>
    </row>
    <row r="1209" spans="1:2" x14ac:dyDescent="0.15">
      <c r="A1209" t="s">
        <v>1189</v>
      </c>
      <c r="B1209" t="str">
        <f>HYPERLINK("き/きょう　胸背腰膝病　1624　類経図翼　明・張介賓_ページ_1.jpg")</f>
        <v>き/きょう　胸背腰膝病　1624　類経図翼　明・張介賓_ページ_1.jpg</v>
      </c>
    </row>
    <row r="1210" spans="1:2" x14ac:dyDescent="0.15">
      <c r="A1210" t="s">
        <v>1190</v>
      </c>
      <c r="B1210" t="str">
        <f>HYPERLINK("き/きょう　胸背腰膝病　1624　類経図翼　明・張介賓_ページ_2.jpg")</f>
        <v>き/きょう　胸背腰膝病　1624　類経図翼　明・張介賓_ページ_2.jpg</v>
      </c>
    </row>
    <row r="1211" spans="1:2" x14ac:dyDescent="0.15">
      <c r="A1211" t="s">
        <v>1191</v>
      </c>
      <c r="B1211" t="str">
        <f>HYPERLINK("き/きょう　胸背腰膝病　1624　類経図翼　明・張介賓_ページ_3.jpg")</f>
        <v>き/きょう　胸背腰膝病　1624　類経図翼　明・張介賓_ページ_3.jpg</v>
      </c>
    </row>
    <row r="1212" spans="1:2" x14ac:dyDescent="0.15">
      <c r="A1212" t="s">
        <v>1192</v>
      </c>
      <c r="B1212" t="str">
        <f>HYPERLINK("き/きょう　胸背腰膝病　1624　類経図翼　明・張介賓_ページ_4.jpg")</f>
        <v>き/きょう　胸背腰膝病　1624　類経図翼　明・張介賓_ページ_4.jpg</v>
      </c>
    </row>
    <row r="1213" spans="1:2" x14ac:dyDescent="0.15">
      <c r="A1213" t="s">
        <v>1193</v>
      </c>
      <c r="B1213" t="str">
        <f>HYPERLINK("き/きょう　胸背腰膝病　1761　挨穴捷径　杉原敦_ページ_1.jpg")</f>
        <v>き/きょう　胸背腰膝病　1761　挨穴捷径　杉原敦_ページ_1.jpg</v>
      </c>
    </row>
    <row r="1214" spans="1:2" x14ac:dyDescent="0.15">
      <c r="A1214" t="s">
        <v>1194</v>
      </c>
      <c r="B1214" t="str">
        <f>HYPERLINK("き/きょう　胸背腰膝病　1761　挨穴捷径　杉原敦_ページ_2.jpg")</f>
        <v>き/きょう　胸背腰膝病　1761　挨穴捷径　杉原敦_ページ_2.jpg</v>
      </c>
    </row>
    <row r="1215" spans="1:2" x14ac:dyDescent="0.15">
      <c r="A1215" t="s">
        <v>1195</v>
      </c>
      <c r="B1215" t="str">
        <f>HYPERLINK("き/きょう　胸脇　0650　千金方　孫思ばく_ページ_1.jpg")</f>
        <v>き/きょう　胸脇　0650　千金方　孫思ばく_ページ_1.jpg</v>
      </c>
    </row>
    <row r="1216" spans="1:2" x14ac:dyDescent="0.15">
      <c r="A1216" t="s">
        <v>1196</v>
      </c>
      <c r="B1216" t="str">
        <f>HYPERLINK("き/きょう　胸脇　0650　千金方　孫思ばく_ページ_2.jpg")</f>
        <v>き/きょう　胸脇　0650　千金方　孫思ばく_ページ_2.jpg</v>
      </c>
    </row>
    <row r="1217" spans="1:2" x14ac:dyDescent="0.15">
      <c r="A1217" t="s">
        <v>1197</v>
      </c>
      <c r="B1217" t="str">
        <f>HYPERLINK("き/きょう　胸脇　0650　千金方　孫思ばく_ページ_3.jpg")</f>
        <v>き/きょう　胸脇　0650　千金方　孫思ばく_ページ_3.jpg</v>
      </c>
    </row>
    <row r="1218" spans="1:2" x14ac:dyDescent="0.15">
      <c r="A1218" t="s">
        <v>1198</v>
      </c>
      <c r="B1218" t="str">
        <f>HYPERLINK("き/きょう　胸脇満　1537　鍼灸聚英　明・高武.jpg")</f>
        <v>き/きょう　胸脇満　1537　鍼灸聚英　明・高武.jpg</v>
      </c>
    </row>
    <row r="1219" spans="1:2" x14ac:dyDescent="0.15">
      <c r="A1219" t="s">
        <v>1199</v>
      </c>
      <c r="B1219" t="str">
        <f>HYPERLINK("き/きょう　胸脇病　1574　兪穴参伍的法　秦宗巴.jpg")</f>
        <v>き/きょう　胸脇病　1574　兪穴参伍的法　秦宗巴.jpg</v>
      </c>
    </row>
    <row r="1220" spans="1:2" x14ac:dyDescent="0.15">
      <c r="A1220" t="s">
        <v>1200</v>
      </c>
      <c r="B1220" t="str">
        <f>HYPERLINK("き/きょう　胸脇痛　1220　鍼灸資生経　王執中_ページ_1.jpg")</f>
        <v>き/きょう　胸脇痛　1220　鍼灸資生経　王執中_ページ_1.jpg</v>
      </c>
    </row>
    <row r="1221" spans="1:2" x14ac:dyDescent="0.15">
      <c r="A1221" t="s">
        <v>1201</v>
      </c>
      <c r="B1221" t="str">
        <f>HYPERLINK("き/きょう　胸脇痛　1220　鍼灸資生経　王執中_ページ_2.jpg")</f>
        <v>き/きょう　胸脇痛　1220　鍼灸資生経　王執中_ページ_2.jpg</v>
      </c>
    </row>
    <row r="1222" spans="1:2" x14ac:dyDescent="0.15">
      <c r="A1222" t="s">
        <v>1202</v>
      </c>
      <c r="B1222" t="str">
        <f>HYPERLINK("き/きょう　胸脇痛　1912年（大正01）　鍼灸手引草　久木田七郎.jpg")</f>
        <v>き/きょう　胸脇痛　1912年（大正01）　鍼灸手引草　久木田七郎.jpg</v>
      </c>
    </row>
    <row r="1223" spans="1:2" x14ac:dyDescent="0.15">
      <c r="A1223" t="s">
        <v>1203</v>
      </c>
      <c r="B1223" t="str">
        <f>HYPERLINK("き/きょう　胸脇痛不可忍　1315　鍼経摘英集　元・杜思敬「済生抜粋方」_ページ_1.jpg")</f>
        <v>き/きょう　胸脇痛不可忍　1315　鍼経摘英集　元・杜思敬「済生抜粋方」_ページ_1.jpg</v>
      </c>
    </row>
    <row r="1224" spans="1:2" x14ac:dyDescent="0.15">
      <c r="A1224" t="s">
        <v>1204</v>
      </c>
      <c r="B1224" t="str">
        <f>HYPERLINK("き/きょう　胸脇痛不可忍　1315　鍼経摘英集　元・杜思敬「済生抜粋方」_ページ_2.jpg")</f>
        <v>き/きょう　胸脇痛不可忍　1315　鍼経摘英集　元・杜思敬「済生抜粋方」_ページ_2.jpg</v>
      </c>
    </row>
    <row r="1225" spans="1:2" x14ac:dyDescent="0.15">
      <c r="A1225" t="s">
        <v>1205</v>
      </c>
      <c r="B1225" t="str">
        <f>HYPERLINK("き/きょう　胸腹之病　1792　鍼法要集　源長起_ページ_1.jpg")</f>
        <v>き/きょう　胸腹之病　1792　鍼法要集　源長起_ページ_1.jpg</v>
      </c>
    </row>
    <row r="1226" spans="1:2" x14ac:dyDescent="0.15">
      <c r="A1226" t="s">
        <v>1206</v>
      </c>
      <c r="B1226" t="str">
        <f>HYPERLINK("き/きょう　胸腹之病　1792　鍼法要集　源長起_ページ_2.jpg")</f>
        <v>き/きょう　胸腹之病　1792　鍼法要集　源長起_ページ_2.jpg</v>
      </c>
    </row>
    <row r="1227" spans="1:2" x14ac:dyDescent="0.15">
      <c r="A1227" t="s">
        <v>1207</v>
      </c>
      <c r="B1227" t="str">
        <f>HYPERLINK("き/きょう　胸虫　1758　灸ぜつ塩土伝　三宅意安_ページ_1.jpg")</f>
        <v>き/きょう　胸虫　1758　灸ぜつ塩土伝　三宅意安_ページ_1.jpg</v>
      </c>
    </row>
    <row r="1228" spans="1:2" x14ac:dyDescent="0.15">
      <c r="A1228" t="s">
        <v>1208</v>
      </c>
      <c r="B1228" t="str">
        <f>HYPERLINK("き/きょう　胸虫　1758　灸ぜつ塩土伝　三宅意安_ページ_2.jpg")</f>
        <v>き/きょう　胸虫　1758　灸ぜつ塩土伝　三宅意安_ページ_2.jpg</v>
      </c>
    </row>
    <row r="1229" spans="1:2" x14ac:dyDescent="0.15">
      <c r="A1229" t="s">
        <v>1209</v>
      </c>
      <c r="B1229" t="str">
        <f>HYPERLINK("き/きょう　脇痛　1537　鍼灸聚英　明・高武.jpg")</f>
        <v>き/きょう　脇痛　1537　鍼灸聚英　明・高武.jpg</v>
      </c>
    </row>
    <row r="1230" spans="1:2" x14ac:dyDescent="0.15">
      <c r="A1230" t="s">
        <v>1210</v>
      </c>
      <c r="B1230" t="str">
        <f>HYPERLINK("き/きょう　脇痛　1563　鍼灸集要　曲直瀬道三.jpg")</f>
        <v>き/きょう　脇痛　1563　鍼灸集要　曲直瀬道三.jpg</v>
      </c>
    </row>
    <row r="1231" spans="1:2" x14ac:dyDescent="0.15">
      <c r="A1231" t="s">
        <v>1211</v>
      </c>
      <c r="B1231" t="str">
        <f>HYPERLINK("き/きょう　脇痛　1680　鍼灸抜萃　著者未詳.jpg")</f>
        <v>き/きょう　脇痛　1680　鍼灸抜萃　著者未詳.jpg</v>
      </c>
    </row>
    <row r="1232" spans="1:2" x14ac:dyDescent="0.15">
      <c r="A1232" t="s">
        <v>1212</v>
      </c>
      <c r="B1232" t="str">
        <f>HYPERLINK("き/きょう　脇痛　1686　鍼灸要法指南　岩田利斎_ページ_1.jpg")</f>
        <v>き/きょう　脇痛　1686　鍼灸要法指南　岩田利斎_ページ_1.jpg</v>
      </c>
    </row>
    <row r="1233" spans="1:2" x14ac:dyDescent="0.15">
      <c r="A1233" t="s">
        <v>1213</v>
      </c>
      <c r="B1233" t="str">
        <f>HYPERLINK("き/きょう　脇痛　1686　鍼灸要法指南　岩田利斎_ページ_2.jpg")</f>
        <v>き/きょう　脇痛　1686　鍼灸要法指南　岩田利斎_ページ_2.jpg</v>
      </c>
    </row>
    <row r="1234" spans="1:2" x14ac:dyDescent="0.15">
      <c r="A1234" t="s">
        <v>1214</v>
      </c>
      <c r="B1234" t="str">
        <f>HYPERLINK("き/きょう　脇痛　1693　鍼灸要歌集　安井昌玄.jpg")</f>
        <v>き/きょう　脇痛　1693　鍼灸要歌集　安井昌玄.jpg</v>
      </c>
    </row>
    <row r="1235" spans="1:2" x14ac:dyDescent="0.15">
      <c r="A1235" t="s">
        <v>1215</v>
      </c>
      <c r="B1235" t="str">
        <f>HYPERLINK("き/きょう　脇痛　1694　鍼灸そかい集　高津敬節_ページ_1.jpg")</f>
        <v>き/きょう　脇痛　1694　鍼灸そかい集　高津敬節_ページ_1.jpg</v>
      </c>
    </row>
    <row r="1236" spans="1:2" x14ac:dyDescent="0.15">
      <c r="A1236" t="s">
        <v>1216</v>
      </c>
      <c r="B1236" t="str">
        <f>HYPERLINK("き/きょう　脇痛　1694　鍼灸そかい集　高津敬節_ページ_2.jpg")</f>
        <v>き/きょう　脇痛　1694　鍼灸そかい集　高津敬節_ページ_2.jpg</v>
      </c>
    </row>
    <row r="1237" spans="1:2" x14ac:dyDescent="0.15">
      <c r="A1237" t="s">
        <v>1217</v>
      </c>
      <c r="B1237" t="str">
        <f>HYPERLINK("き/きょう　脇痛　1696　広益鍼灸抜萃　著者未詳_ページ_1.jpg")</f>
        <v>き/きょう　脇痛　1696　広益鍼灸抜萃　著者未詳_ページ_1.jpg</v>
      </c>
    </row>
    <row r="1238" spans="1:2" x14ac:dyDescent="0.15">
      <c r="A1238" t="s">
        <v>1218</v>
      </c>
      <c r="B1238" t="str">
        <f>HYPERLINK("き/きょう　脇痛　1696　広益鍼灸抜萃　著者未詳_ページ_2.jpg")</f>
        <v>き/きょう　脇痛　1696　広益鍼灸抜萃　著者未詳_ページ_2.jpg</v>
      </c>
    </row>
    <row r="1239" spans="1:2" x14ac:dyDescent="0.15">
      <c r="A1239" t="s">
        <v>1219</v>
      </c>
      <c r="B1239" t="str">
        <f>HYPERLINK("き/きょう　脇痛　1698　鍼灸抜粋大成　岡本一抱.jpg")</f>
        <v>き/きょう　脇痛　1698　鍼灸抜粋大成　岡本一抱.jpg</v>
      </c>
    </row>
    <row r="1240" spans="1:2" x14ac:dyDescent="0.15">
      <c r="A1240" t="s">
        <v>1220</v>
      </c>
      <c r="B1240" t="str">
        <f>HYPERLINK("き/きょう　脇痛　1767　鍼灸則　菅沼周桂_ページ_1.jpg")</f>
        <v>き/きょう　脇痛　1767　鍼灸則　菅沼周桂_ページ_1.jpg</v>
      </c>
    </row>
    <row r="1241" spans="1:2" x14ac:dyDescent="0.15">
      <c r="A1241" t="s">
        <v>1221</v>
      </c>
      <c r="B1241" t="str">
        <f>HYPERLINK("き/きょう　脇痛　1767　鍼灸則　菅沼周桂_ページ_2.jpg")</f>
        <v>き/きょう　脇痛　1767　鍼灸則　菅沼周桂_ページ_2.jpg</v>
      </c>
    </row>
    <row r="1242" spans="1:2" x14ac:dyDescent="0.15">
      <c r="A1242" t="s">
        <v>1222</v>
      </c>
      <c r="B1242" t="str">
        <f>HYPERLINK("き/きょう　脇痛　1773　鍼灸手引草　大簡室主人_ページ_1.jpg")</f>
        <v>き/きょう　脇痛　1773　鍼灸手引草　大簡室主人_ページ_1.jpg</v>
      </c>
    </row>
    <row r="1243" spans="1:2" x14ac:dyDescent="0.15">
      <c r="A1243" t="s">
        <v>1223</v>
      </c>
      <c r="B1243" t="str">
        <f>HYPERLINK("き/きょう　脇痛　1773　鍼灸手引草　大簡室主人_ページ_2.jpg")</f>
        <v>き/きょう　脇痛　1773　鍼灸手引草　大簡室主人_ページ_2.jpg</v>
      </c>
    </row>
    <row r="1244" spans="1:2" x14ac:dyDescent="0.15">
      <c r="A1244" t="s">
        <v>1224</v>
      </c>
      <c r="B1244" t="str">
        <f>HYPERLINK("き/きょう　脇痛　1792　鍼法要集　源長起.jpg")</f>
        <v>き/きょう　脇痛　1792　鍼法要集　源長起.jpg</v>
      </c>
    </row>
    <row r="1245" spans="1:2" x14ac:dyDescent="0.15">
      <c r="A1245" t="s">
        <v>1225</v>
      </c>
      <c r="B1245" t="str">
        <f>HYPERLINK("き/きょう　脇痛　わきいたみ　1718　鍼灸重宝記　本郷正豊.jpg")</f>
        <v>き/きょう　脇痛　わきいたみ　1718　鍼灸重宝記　本郷正豊.jpg</v>
      </c>
    </row>
    <row r="1246" spans="1:2" x14ac:dyDescent="0.15">
      <c r="A1246" t="s">
        <v>1226</v>
      </c>
      <c r="B1246" t="str">
        <f>HYPERLINK("き/きょう　脇痛　成書年未詳　灸穴集　著者未詳_ページ_1.jpg")</f>
        <v>き/きょう　脇痛　成書年未詳　灸穴集　著者未詳_ページ_1.jpg</v>
      </c>
    </row>
    <row r="1247" spans="1:2" x14ac:dyDescent="0.15">
      <c r="A1247" t="s">
        <v>1227</v>
      </c>
      <c r="B1247" t="str">
        <f>HYPERLINK("き/きょう　脇痛　成書年未詳　灸穴集　著者未詳_ページ_2.jpg")</f>
        <v>き/きょう　脇痛　成書年未詳　灸穴集　著者未詳_ページ_2.jpg</v>
      </c>
    </row>
    <row r="1248" spans="1:2" x14ac:dyDescent="0.15">
      <c r="A1248" t="s">
        <v>1228</v>
      </c>
      <c r="B1248" t="str">
        <f>HYPERLINK("き/きょう　脇腋　1669　鍼灸枢要　山本玄通_ページ_1.jpg")</f>
        <v>き/きょう　脇腋　1669　鍼灸枢要　山本玄通_ページ_1.jpg</v>
      </c>
    </row>
    <row r="1249" spans="1:2" x14ac:dyDescent="0.15">
      <c r="A1249" t="s">
        <v>1229</v>
      </c>
      <c r="B1249" t="str">
        <f>HYPERLINK("き/きょう　脇腋　1669　鍼灸枢要　山本玄通_ページ_2.jpg")</f>
        <v>き/きょう　脇腋　1669　鍼灸枢要　山本玄通_ページ_2.jpg</v>
      </c>
    </row>
    <row r="1250" spans="1:2" x14ac:dyDescent="0.15">
      <c r="A1250" t="s">
        <v>1230</v>
      </c>
      <c r="B1250" t="str">
        <f>HYPERLINK("き/きょう　脇腋　1669　鍼灸枢要　山本玄通_ページ_3.jpg")</f>
        <v>き/きょう　脇腋　1669　鍼灸枢要　山本玄通_ページ_3.jpg</v>
      </c>
    </row>
    <row r="1251" spans="1:2" x14ac:dyDescent="0.15">
      <c r="A1251" t="s">
        <v>1231</v>
      </c>
      <c r="B1251" t="str">
        <f>HYPERLINK("き/きょう　脇腋　1669　鍼灸枢要　山本玄通_ページ_4.jpg")</f>
        <v>き/きょう　脇腋　1669　鍼灸枢要　山本玄通_ページ_4.jpg</v>
      </c>
    </row>
    <row r="1252" spans="1:2" x14ac:dyDescent="0.15">
      <c r="A1252" t="s">
        <v>1232</v>
      </c>
      <c r="B1252" t="str">
        <f>HYPERLINK("き/きょう　脇腋　1669　鍼灸枢要　山本玄通_ページ_5.jpg")</f>
        <v>き/きょう　脇腋　1669　鍼灸枢要　山本玄通_ページ_5.jpg</v>
      </c>
    </row>
    <row r="1253" spans="1:2" x14ac:dyDescent="0.15">
      <c r="A1253" t="s">
        <v>1233</v>
      </c>
      <c r="B1253" t="str">
        <f>HYPERLINK("き/きょう　脇腋　1669　鍼灸枢要　山本玄通_ページ_6.jpg")</f>
        <v>き/きょう　脇腋　1669　鍼灸枢要　山本玄通_ページ_6.jpg</v>
      </c>
    </row>
    <row r="1254" spans="1:2" x14ac:dyDescent="0.15">
      <c r="A1254" t="s">
        <v>1234</v>
      </c>
      <c r="B1254" t="str">
        <f>HYPERLINK("き/きょう　脇腋　1800　鍼灸備要　小坂元祐_ページ_1.jpg")</f>
        <v>き/きょう　脇腋　1800　鍼灸備要　小坂元祐_ページ_1.jpg</v>
      </c>
    </row>
    <row r="1255" spans="1:2" x14ac:dyDescent="0.15">
      <c r="A1255" t="s">
        <v>1235</v>
      </c>
      <c r="B1255" t="str">
        <f>HYPERLINK("き/きょう　脇腋　1800　鍼灸備要　小坂元祐_ページ_2.jpg")</f>
        <v>き/きょう　脇腋　1800　鍼灸備要　小坂元祐_ページ_2.jpg</v>
      </c>
    </row>
    <row r="1256" spans="1:2" x14ac:dyDescent="0.15">
      <c r="A1256" t="s">
        <v>1236</v>
      </c>
      <c r="B1256" t="str">
        <f>HYPERLINK("き/きょう　驚　1694　急驚　附　慢驚、癇症　鍼灸そかい集　高津敬節.jpg")</f>
        <v>き/きょう　驚　1694　急驚　附　慢驚、癇症　鍼灸そかい集　高津敬節.jpg</v>
      </c>
    </row>
    <row r="1257" spans="1:2" x14ac:dyDescent="0.15">
      <c r="A1257" t="s">
        <v>1237</v>
      </c>
      <c r="B1257" t="str">
        <f>HYPERLINK("き/きょう　驚　1694　慢驚　選鍼三要集　杉山和一.jpg")</f>
        <v>き/きょう　驚　1694　慢驚　選鍼三要集　杉山和一.jpg</v>
      </c>
    </row>
    <row r="1258" spans="1:2" x14ac:dyDescent="0.15">
      <c r="A1258" t="s">
        <v>1238</v>
      </c>
      <c r="B1258" t="str">
        <f>HYPERLINK("き/きょう　驚　1767　急驚（小児）　鍼灸則　菅沼周桂_ページ_1.jpg")</f>
        <v>き/きょう　驚　1767　急驚（小児）　鍼灸則　菅沼周桂_ページ_1.jpg</v>
      </c>
    </row>
    <row r="1259" spans="1:2" x14ac:dyDescent="0.15">
      <c r="A1259" t="s">
        <v>1239</v>
      </c>
      <c r="B1259" t="str">
        <f>HYPERLINK("き/きょう　驚　1767　急驚（小児）　鍼灸則　菅沼周桂_ページ_2.jpg")</f>
        <v>き/きょう　驚　1767　急驚（小児）　鍼灸則　菅沼周桂_ページ_2.jpg</v>
      </c>
    </row>
    <row r="1260" spans="1:2" x14ac:dyDescent="0.15">
      <c r="A1260" t="s">
        <v>1240</v>
      </c>
      <c r="B1260" t="str">
        <f>HYPERLINK("き/きょう　驚恐　0650　千金方　孫思ばく_ページ_1.jpg")</f>
        <v>き/きょう　驚恐　0650　千金方　孫思ばく_ページ_1.jpg</v>
      </c>
    </row>
    <row r="1261" spans="1:2" x14ac:dyDescent="0.15">
      <c r="A1261" t="s">
        <v>1241</v>
      </c>
      <c r="B1261" t="str">
        <f>HYPERLINK("き/きょう　驚恐　0650　千金方　孫思ばく_ページ_2.jpg")</f>
        <v>き/きょう　驚恐　0650　千金方　孫思ばく_ページ_2.jpg</v>
      </c>
    </row>
    <row r="1262" spans="1:2" x14ac:dyDescent="0.15">
      <c r="A1262" t="s">
        <v>1242</v>
      </c>
      <c r="B1262" t="str">
        <f>HYPERLINK("き/きょう　驚悸　1669　鍼灸枢要　山本玄通.jpg")</f>
        <v>き/きょう　驚悸　1669　鍼灸枢要　山本玄通.jpg</v>
      </c>
    </row>
    <row r="1263" spans="1:2" x14ac:dyDescent="0.15">
      <c r="A1263" t="s">
        <v>1243</v>
      </c>
      <c r="B1263" t="str">
        <f>HYPERLINK("き/きょう　驚悸　1767　鍼灸則　菅沼周桂.jpg")</f>
        <v>き/きょう　驚悸　1767　鍼灸則　菅沼周桂.jpg</v>
      </c>
    </row>
    <row r="1264" spans="1:2" x14ac:dyDescent="0.15">
      <c r="A1264" t="s">
        <v>1244</v>
      </c>
      <c r="B1264" t="str">
        <f>HYPERLINK("き/きょう　驚悸　むなさわぎ　1794　杉山流鍼術　島浦和田一_ページ_1.jpg")</f>
        <v>き/きょう　驚悸　むなさわぎ　1794　杉山流鍼術　島浦和田一_ページ_1.jpg</v>
      </c>
    </row>
    <row r="1265" spans="1:2" x14ac:dyDescent="0.15">
      <c r="A1265" t="s">
        <v>1245</v>
      </c>
      <c r="B1265" t="str">
        <f>HYPERLINK("き/きょう　驚悸　むなさわぎ　1794　杉山流鍼術　島浦和田一_ページ_2.jpg")</f>
        <v>き/きょう　驚悸　むなさわぎ　1794　杉山流鍼術　島浦和田一_ページ_2.jpg</v>
      </c>
    </row>
    <row r="1266" spans="1:2" x14ac:dyDescent="0.15">
      <c r="A1266" t="s">
        <v>1246</v>
      </c>
      <c r="B1266" t="str">
        <f>HYPERLINK("き/きょう　驚癇　1220　鍼灸資生経　王執中_ページ_1.jpg")</f>
        <v>き/きょう　驚癇　1220　鍼灸資生経　王執中_ページ_1.jpg</v>
      </c>
    </row>
    <row r="1267" spans="1:2" x14ac:dyDescent="0.15">
      <c r="A1267" t="s">
        <v>1247</v>
      </c>
      <c r="B1267" t="str">
        <f>HYPERLINK("き/きょう　驚癇　1220　鍼灸資生経　王執中_ページ_2.jpg")</f>
        <v>き/きょう　驚癇　1220　鍼灸資生経　王執中_ページ_2.jpg</v>
      </c>
    </row>
    <row r="1268" spans="1:2" x14ac:dyDescent="0.15">
      <c r="A1268" t="s">
        <v>1248</v>
      </c>
      <c r="B1268" t="str">
        <f>HYPERLINK("き/きょう　驚癇　1329　扁鵲神応鍼灸玉龍経　元・王国瑞_ページ_1.jpg")</f>
        <v>き/きょう　驚癇　1329　扁鵲神応鍼灸玉龍経　元・王国瑞_ページ_1.jpg</v>
      </c>
    </row>
    <row r="1269" spans="1:2" x14ac:dyDescent="0.15">
      <c r="A1269" t="s">
        <v>1249</v>
      </c>
      <c r="B1269" t="str">
        <f>HYPERLINK("き/きょう　驚癇　1329　扁鵲神応鍼灸玉龍経　元・王国瑞_ページ_2.jpg")</f>
        <v>き/きょう　驚癇　1329　扁鵲神応鍼灸玉龍経　元・王国瑞_ページ_2.jpg</v>
      </c>
    </row>
    <row r="1270" spans="1:2" x14ac:dyDescent="0.15">
      <c r="A1270" t="s">
        <v>1250</v>
      </c>
      <c r="B1270" t="str">
        <f>HYPERLINK("き/きょう　驚癇　1718　てんかん・くつち　鍼灸重宝記　本郷正豊_ページ_1.jpg")</f>
        <v>き/きょう　驚癇　1718　てんかん・くつち　鍼灸重宝記　本郷正豊_ページ_1.jpg</v>
      </c>
    </row>
    <row r="1271" spans="1:2" x14ac:dyDescent="0.15">
      <c r="A1271" t="s">
        <v>1251</v>
      </c>
      <c r="B1271" t="str">
        <f>HYPERLINK("き/きょう　驚癇　1718　てんかん・くつち　鍼灸重宝記　本郷正豊_ページ_2.jpg")</f>
        <v>き/きょう　驚癇　1718　てんかん・くつち　鍼灸重宝記　本郷正豊_ページ_2.jpg</v>
      </c>
    </row>
    <row r="1272" spans="1:2" x14ac:dyDescent="0.15">
      <c r="A1272" t="s">
        <v>1252</v>
      </c>
      <c r="B1272" t="str">
        <f>HYPERLINK("き/きょう　驚癇　1773　鍼灸手引草　大簡室主人_ページ_1.jpg")</f>
        <v>き/きょう　驚癇　1773　鍼灸手引草　大簡室主人_ページ_1.jpg</v>
      </c>
    </row>
    <row r="1273" spans="1:2" x14ac:dyDescent="0.15">
      <c r="A1273" t="s">
        <v>1253</v>
      </c>
      <c r="B1273" t="str">
        <f>HYPERLINK("き/きょう　驚癇　1773　鍼灸手引草　大簡室主人_ページ_2.jpg")</f>
        <v>き/きょう　驚癇　1773　鍼灸手引草　大簡室主人_ページ_2.jpg</v>
      </c>
    </row>
    <row r="1274" spans="1:2" x14ac:dyDescent="0.15">
      <c r="A1274" t="s">
        <v>1254</v>
      </c>
      <c r="B1274" t="str">
        <f>HYPERLINK("き/きょう　驚癇　1813　名家灸選三編　平井庸信_ページ_1.jpg")</f>
        <v>き/きょう　驚癇　1813　名家灸選三編　平井庸信_ページ_1.jpg</v>
      </c>
    </row>
    <row r="1275" spans="1:2" x14ac:dyDescent="0.15">
      <c r="A1275" t="s">
        <v>1255</v>
      </c>
      <c r="B1275" t="str">
        <f>HYPERLINK("き/きょう　驚癇　1813　名家灸選三編　平井庸信_ページ_2.jpg")</f>
        <v>き/きょう　驚癇　1813　名家灸選三編　平井庸信_ページ_2.jpg</v>
      </c>
    </row>
    <row r="1276" spans="1:2" x14ac:dyDescent="0.15">
      <c r="A1276" t="s">
        <v>1256</v>
      </c>
      <c r="B1276" t="str">
        <f>HYPERLINK("き/きょう　驚癇　1912年（大正01）　鍼灸手引草　久木田七郎.jpg")</f>
        <v>き/きょう　驚癇　1912年（大正01）　鍼灸手引草　久木田七郎.jpg</v>
      </c>
    </row>
    <row r="1277" spans="1:2" x14ac:dyDescent="0.15">
      <c r="A1277" t="s">
        <v>1257</v>
      </c>
      <c r="B1277" t="str">
        <f>HYPERLINK("き/きょう　驚風　1563　小児急驚風　鍼灸集要　曲直瀬道三.jpg")</f>
        <v>き/きょう　驚風　1563　小児急驚風　鍼灸集要　曲直瀬道三.jpg</v>
      </c>
    </row>
    <row r="1278" spans="1:2" x14ac:dyDescent="0.15">
      <c r="A1278" t="s">
        <v>1258</v>
      </c>
      <c r="B1278" t="str">
        <f>HYPERLINK("き/きょう　驚風　1669　（小児）　鍼灸枢要　山本玄通_ページ_1.jpg")</f>
        <v>き/きょう　驚風　1669　（小児）　鍼灸枢要　山本玄通_ページ_1.jpg</v>
      </c>
    </row>
    <row r="1279" spans="1:2" x14ac:dyDescent="0.15">
      <c r="A1279" t="s">
        <v>1259</v>
      </c>
      <c r="B1279" t="str">
        <f>HYPERLINK("き/きょう　驚風　1669　（小児）　鍼灸枢要　山本玄通_ページ_2.jpg")</f>
        <v>き/きょう　驚風　1669　（小児）　鍼灸枢要　山本玄通_ページ_2.jpg</v>
      </c>
    </row>
    <row r="1280" spans="1:2" x14ac:dyDescent="0.15">
      <c r="A1280" t="s">
        <v>1260</v>
      </c>
      <c r="B1280" t="str">
        <f>HYPERLINK("き/きょう　驚風　1669　（小児）　鍼灸枢要　山本玄通_ページ_3.jpg")</f>
        <v>き/きょう　驚風　1669　（小児）　鍼灸枢要　山本玄通_ページ_3.jpg</v>
      </c>
    </row>
    <row r="1281" spans="1:2" x14ac:dyDescent="0.15">
      <c r="A1281" t="s">
        <v>1261</v>
      </c>
      <c r="B1281" t="str">
        <f>HYPERLINK("き/きょう　驚風　1669　（小児）　鍼灸枢要　山本玄通_ページ_4.jpg")</f>
        <v>き/きょう　驚風　1669　（小児）　鍼灸枢要　山本玄通_ページ_4.jpg</v>
      </c>
    </row>
    <row r="1282" spans="1:2" x14ac:dyDescent="0.15">
      <c r="A1282" t="s">
        <v>1262</v>
      </c>
      <c r="B1282" t="str">
        <f>HYPERLINK("き/きょう　驚風　1669　（小児）　鍼灸枢要　山本玄通_ページ_5.jpg")</f>
        <v>き/きょう　驚風　1669　（小児）　鍼灸枢要　山本玄通_ページ_5.jpg</v>
      </c>
    </row>
    <row r="1283" spans="1:2" x14ac:dyDescent="0.15">
      <c r="A1283" t="s">
        <v>1263</v>
      </c>
      <c r="B1283" t="str">
        <f>HYPERLINK("き/きょう　驚風　1685　鍼道秘訣集　御園夢分斎_ページ_1.jpg")</f>
        <v>き/きょう　驚風　1685　鍼道秘訣集　御園夢分斎_ページ_1.jpg</v>
      </c>
    </row>
    <row r="1284" spans="1:2" x14ac:dyDescent="0.15">
      <c r="A1284" t="s">
        <v>1264</v>
      </c>
      <c r="B1284" t="str">
        <f>HYPERLINK("き/きょう　驚風　1685　鍼道秘訣集　御園夢分斎_ページ_2.jpg")</f>
        <v>き/きょう　驚風　1685　鍼道秘訣集　御園夢分斎_ページ_2.jpg</v>
      </c>
    </row>
    <row r="1285" spans="1:2" x14ac:dyDescent="0.15">
      <c r="A1285" t="s">
        <v>1265</v>
      </c>
      <c r="B1285" t="str">
        <f>HYPERLINK("き/きょう　驚風　1686　急慢驚風　鍼灸要法指南　岩田利斎_ページ_1.jpg")</f>
        <v>き/きょう　驚風　1686　急慢驚風　鍼灸要法指南　岩田利斎_ページ_1.jpg</v>
      </c>
    </row>
    <row r="1286" spans="1:2" x14ac:dyDescent="0.15">
      <c r="A1286" t="s">
        <v>1266</v>
      </c>
      <c r="B1286" t="str">
        <f>HYPERLINK("き/きょう　驚風　1686　急慢驚風　鍼灸要法指南　岩田利斎_ページ_2.jpg")</f>
        <v>き/きょう　驚風　1686　急慢驚風　鍼灸要法指南　岩田利斎_ページ_2.jpg</v>
      </c>
    </row>
    <row r="1287" spans="1:2" x14ac:dyDescent="0.15">
      <c r="A1287" t="s">
        <v>1267</v>
      </c>
      <c r="B1287" t="str">
        <f>HYPERLINK("き/きょう　驚風　1693　急慢驚風　鍼灸要歌集　安井昌玄_ページ_1.jpg")</f>
        <v>き/きょう　驚風　1693　急慢驚風　鍼灸要歌集　安井昌玄_ページ_1.jpg</v>
      </c>
    </row>
    <row r="1288" spans="1:2" x14ac:dyDescent="0.15">
      <c r="A1288" t="s">
        <v>1268</v>
      </c>
      <c r="B1288" t="str">
        <f>HYPERLINK("き/きょう　驚風　1693　急慢驚風　鍼灸要歌集　安井昌玄_ページ_2.jpg")</f>
        <v>き/きょう　驚風　1693　急慢驚風　鍼灸要歌集　安井昌玄_ページ_2.jpg</v>
      </c>
    </row>
    <row r="1289" spans="1:2" x14ac:dyDescent="0.15">
      <c r="A1289" t="s">
        <v>1269</v>
      </c>
      <c r="B1289" t="str">
        <f>HYPERLINK("き/きょう　驚風　1694　小児病　急慢驚風　選鍼三要集　杉山和一.jpg")</f>
        <v>き/きょう　驚風　1694　小児病　急慢驚風　選鍼三要集　杉山和一.jpg</v>
      </c>
    </row>
    <row r="1290" spans="1:2" x14ac:dyDescent="0.15">
      <c r="A1290" t="s">
        <v>1270</v>
      </c>
      <c r="B1290" t="str">
        <f>HYPERLINK("き/きょう　驚風　1694　急驚風　療治之大概集　杉山和一.jpg")</f>
        <v>き/きょう　驚風　1694　急驚風　療治之大概集　杉山和一.jpg</v>
      </c>
    </row>
    <row r="1291" spans="1:2" x14ac:dyDescent="0.15">
      <c r="A1291" t="s">
        <v>1271</v>
      </c>
      <c r="B1291" t="str">
        <f>HYPERLINK("き/きょう　驚風　1694　慢驚風　療治之大概集　杉山和一.jpg")</f>
        <v>き/きょう　驚風　1694　慢驚風　療治之大概集　杉山和一.jpg</v>
      </c>
    </row>
    <row r="1292" spans="1:2" x14ac:dyDescent="0.15">
      <c r="A1292" t="s">
        <v>1272</v>
      </c>
      <c r="B1292" t="str">
        <f>HYPERLINK("き/きょう　驚風　1698　急驚風　鍼灸抜粋大成　岡本一抱_ページ_1.jpg")</f>
        <v>き/きょう　驚風　1698　急驚風　鍼灸抜粋大成　岡本一抱_ページ_1.jpg</v>
      </c>
    </row>
    <row r="1293" spans="1:2" x14ac:dyDescent="0.15">
      <c r="A1293" t="s">
        <v>1273</v>
      </c>
      <c r="B1293" t="str">
        <f>HYPERLINK("き/きょう　驚風　1698　急驚風　鍼灸抜粋大成　岡本一抱_ページ_2.jpg")</f>
        <v>き/きょう　驚風　1698　急驚風　鍼灸抜粋大成　岡本一抱_ページ_2.jpg</v>
      </c>
    </row>
    <row r="1294" spans="1:2" x14ac:dyDescent="0.15">
      <c r="A1294" t="s">
        <v>1274</v>
      </c>
      <c r="B1294" t="str">
        <f>HYPERLINK("き/きょう　驚風　1718　鍼灸重宝記　本郷正豊.jpg")</f>
        <v>き/きょう　驚風　1718　鍼灸重宝記　本郷正豊.jpg</v>
      </c>
    </row>
    <row r="1295" spans="1:2" x14ac:dyDescent="0.15">
      <c r="A1295" t="s">
        <v>1275</v>
      </c>
      <c r="B1295" t="str">
        <f>HYPERLINK("き/きょう　驚風　1758　小児急慢驚風　灸ぜつ塩土伝　三宅意安_ページ_1.jpg")</f>
        <v>き/きょう　驚風　1758　小児急慢驚風　灸ぜつ塩土伝　三宅意安_ページ_1.jpg</v>
      </c>
    </row>
    <row r="1296" spans="1:2" x14ac:dyDescent="0.15">
      <c r="A1296" t="s">
        <v>1276</v>
      </c>
      <c r="B1296" t="str">
        <f>HYPERLINK("き/きょう　驚風　1758　小児急慢驚風　灸ぜつ塩土伝　三宅意安_ページ_2.jpg")</f>
        <v>き/きょう　驚風　1758　小児急慢驚風　灸ぜつ塩土伝　三宅意安_ページ_2.jpg</v>
      </c>
    </row>
    <row r="1297" spans="1:2" x14ac:dyDescent="0.15">
      <c r="A1297" t="s">
        <v>1277</v>
      </c>
      <c r="B1297" t="str">
        <f>HYPERLINK("き/きょう　驚風　1765　小児驚風　鍼法弁惑　藤井秀孟_ページ_1.jpg")</f>
        <v>き/きょう　驚風　1765　小児驚風　鍼法弁惑　藤井秀孟_ページ_1.jpg</v>
      </c>
    </row>
    <row r="1298" spans="1:2" x14ac:dyDescent="0.15">
      <c r="A1298" t="s">
        <v>1278</v>
      </c>
      <c r="B1298" t="str">
        <f>HYPERLINK("き/きょう　驚風　1765　小児驚風　鍼法弁惑　藤井秀孟_ページ_2.jpg")</f>
        <v>き/きょう　驚風　1765　小児驚風　鍼法弁惑　藤井秀孟_ページ_2.jpg</v>
      </c>
    </row>
    <row r="1299" spans="1:2" x14ac:dyDescent="0.15">
      <c r="A1299" t="s">
        <v>1279</v>
      </c>
      <c r="B1299" t="str">
        <f>HYPERLINK("き/きょう　驚風　1767　慢驚（小児）　鍼灸則　菅沼周桂.jpg")</f>
        <v>き/きょう　驚風　1767　慢驚（小児）　鍼灸則　菅沼周桂.jpg</v>
      </c>
    </row>
    <row r="1300" spans="1:2" x14ac:dyDescent="0.15">
      <c r="A1300" t="s">
        <v>1280</v>
      </c>
      <c r="B1300" t="str">
        <f>HYPERLINK("き/きょう　驚風　1773　鍼灸手引草　大簡室主人.jpg")</f>
        <v>き/きょう　驚風　1773　鍼灸手引草　大簡室主人.jpg</v>
      </c>
    </row>
    <row r="1301" spans="1:2" x14ac:dyDescent="0.15">
      <c r="A1301" t="s">
        <v>1281</v>
      </c>
      <c r="B1301" t="str">
        <f>HYPERLINK("き/きょう　驚風　1780　小児驚風　きょうふう　鍼灸極秘伝　木村太沖.jpg")</f>
        <v>き/きょう　驚風　1780　小児驚風　きょうふう　鍼灸極秘伝　木村太沖.jpg</v>
      </c>
    </row>
    <row r="1302" spans="1:2" x14ac:dyDescent="0.15">
      <c r="A1302" t="s">
        <v>1282</v>
      </c>
      <c r="B1302" t="str">
        <f>HYPERLINK("き/きょう　驚風　1780　急驚風　きゅうきょう風、目を引きつけたるに　鍼灸極秘伝　木村太沖.jpg")</f>
        <v>き/きょう　驚風　1780　急驚風　きゅうきょう風、目を引きつけたるに　鍼灸極秘伝　木村太沖.jpg</v>
      </c>
    </row>
    <row r="1303" spans="1:2" x14ac:dyDescent="0.15">
      <c r="A1303" t="s">
        <v>1283</v>
      </c>
      <c r="B1303" s="2" t="str">
        <f>HYPERLINK("き/きょう　驚風　1780　慢驚風、ちく搦（ちくでき）、反張、熱少なき者　まんきょうふう、そりかえりたる小児　鍼灸極秘伝　木村太沖.jpg")</f>
        <v>き/きょう　驚風　1780　慢驚風、ちく搦（ちくでき）、反張、熱少なき者　まんきょうふう、そりかえりたる小児　鍼灸極秘伝　木村太沖.jpg</v>
      </c>
    </row>
    <row r="1304" spans="1:2" x14ac:dyDescent="0.15">
      <c r="A1304" t="s">
        <v>1284</v>
      </c>
      <c r="B1304" t="str">
        <f>HYPERLINK("き/きょう　驚風　1792　急驚風　慢驚風（小児之部）　鍼法要集　源長起.jpg")</f>
        <v>き/きょう　驚風　1792　急驚風　慢驚風（小児之部）　鍼法要集　源長起.jpg</v>
      </c>
    </row>
    <row r="1305" spans="1:2" x14ac:dyDescent="0.15">
      <c r="A1305" t="s">
        <v>1285</v>
      </c>
      <c r="B1305" t="str">
        <f>HYPERLINK("き/きょう　驚風　1794　急驚風　杉山流鍼術　島浦和田一.jpg")</f>
        <v>き/きょう　驚風　1794　急驚風　杉山流鍼術　島浦和田一.jpg</v>
      </c>
    </row>
    <row r="1306" spans="1:2" x14ac:dyDescent="0.15">
      <c r="A1306" t="s">
        <v>1286</v>
      </c>
      <c r="B1306" t="str">
        <f>HYPERLINK("き/きょう　驚風　1800　鍼灸備要　小坂元祐_ページ_1.jpg")</f>
        <v>き/きょう　驚風　1800　鍼灸備要　小坂元祐_ページ_1.jpg</v>
      </c>
    </row>
    <row r="1307" spans="1:2" x14ac:dyDescent="0.15">
      <c r="A1307" t="s">
        <v>1287</v>
      </c>
      <c r="B1307" t="str">
        <f>HYPERLINK("き/きょう　驚風　1800　鍼灸備要　小坂元祐_ページ_2.jpg")</f>
        <v>き/きょう　驚風　1800　鍼灸備要　小坂元祐_ページ_2.jpg</v>
      </c>
    </row>
    <row r="1308" spans="1:2" x14ac:dyDescent="0.15">
      <c r="A1308" t="s">
        <v>1288</v>
      </c>
      <c r="B1308" t="str">
        <f>HYPERLINK("き/きょう　驚風　1800　鍼灸備要　小坂元祐_ページ_3.jpg")</f>
        <v>き/きょう　驚風　1800　鍼灸備要　小坂元祐_ページ_3.jpg</v>
      </c>
    </row>
    <row r="1309" spans="1:2" x14ac:dyDescent="0.15">
      <c r="A1309" t="s">
        <v>1289</v>
      </c>
      <c r="B1309" t="str">
        <f>HYPERLINK("き/きょう　驚風　1800　鍼灸備要　小坂元祐_ページ_4.jpg")</f>
        <v>き/きょう　驚風　1800　鍼灸備要　小坂元祐_ページ_4.jpg</v>
      </c>
    </row>
    <row r="1310" spans="1:2" x14ac:dyDescent="0.15">
      <c r="A1310" t="s">
        <v>1290</v>
      </c>
      <c r="B1310" t="str">
        <f>HYPERLINK("き/きょう　驚風　1807　急慢驚風　続名家灸選　平井庸信_ページ_1.jpg")</f>
        <v>き/きょう　驚風　1807　急慢驚風　続名家灸選　平井庸信_ページ_1.jpg</v>
      </c>
    </row>
    <row r="1311" spans="1:2" x14ac:dyDescent="0.15">
      <c r="A1311" t="s">
        <v>1291</v>
      </c>
      <c r="B1311" t="str">
        <f>HYPERLINK("き/きょう　驚風　1807　急慢驚風　続名家灸選　平井庸信_ページ_2.jpg")</f>
        <v>き/きょう　驚風　1807　急慢驚風　続名家灸選　平井庸信_ページ_2.jpg</v>
      </c>
    </row>
    <row r="1312" spans="1:2" x14ac:dyDescent="0.15">
      <c r="A1312" t="s">
        <v>1292</v>
      </c>
      <c r="B1312" t="str">
        <f>HYPERLINK("き/きょう　驚風　小児のひきつける病　小児ちく溺（ちくでき）　1887（明治20）　鍼灸備要　青山道醇.jpg")</f>
        <v>き/きょう　驚風　小児のひきつける病　小児ちく溺（ちくでき）　1887（明治20）　鍼灸備要　青山道醇.jpg</v>
      </c>
    </row>
    <row r="1313" spans="1:2" x14ac:dyDescent="0.15">
      <c r="A1313" t="s">
        <v>1293</v>
      </c>
      <c r="B1313" t="str">
        <f>HYPERLINK("き/きょう　驚風　成書年未詳　灸穴集　著者未詳.jpg")</f>
        <v>き/きょう　驚風　成書年未詳　灸穴集　著者未詳.jpg</v>
      </c>
    </row>
    <row r="1314" spans="1:2" x14ac:dyDescent="0.15">
      <c r="A1314" t="s">
        <v>1294</v>
      </c>
      <c r="B1314" t="str">
        <f>HYPERLINK("き/きょう　驚風　成書年未詳　灸穴集　著者未詳_ページ_1.jpg")</f>
        <v>き/きょう　驚風　成書年未詳　灸穴集　著者未詳_ページ_1.jpg</v>
      </c>
    </row>
    <row r="1315" spans="1:2" x14ac:dyDescent="0.15">
      <c r="A1315" t="s">
        <v>1295</v>
      </c>
      <c r="B1315" t="str">
        <f>HYPERLINK("き/きょう　驚風　成書年未詳　灸穴集　著者未詳_ページ_2.jpg")</f>
        <v>き/きょう　驚風　成書年未詳　灸穴集　著者未詳_ページ_2.jpg</v>
      </c>
    </row>
    <row r="1316" spans="1:2" x14ac:dyDescent="0.15">
      <c r="A1316" t="s">
        <v>1296</v>
      </c>
      <c r="B1316" t="str">
        <f>HYPERLINK("き/きょう　（狂）●陽厥大驚発狂　第二　0300　鍼灸甲乙経　皇甫謐_ページ_1.jpg")</f>
        <v>き/きょう　（狂）●陽厥大驚発狂　第二　0300　鍼灸甲乙経　皇甫謐_ページ_1.jpg</v>
      </c>
    </row>
    <row r="1317" spans="1:2" x14ac:dyDescent="0.15">
      <c r="A1317" t="s">
        <v>1297</v>
      </c>
      <c r="B1317" t="str">
        <f>HYPERLINK("き/きょう　（狂）●陽厥大驚発狂　第二　0300　鍼灸甲乙経　皇甫謐_ページ_2.jpg")</f>
        <v>き/きょう　（狂）●陽厥大驚発狂　第二　0300　鍼灸甲乙経　皇甫謐_ページ_2.jpg</v>
      </c>
    </row>
    <row r="1318" spans="1:2" x14ac:dyDescent="0.15">
      <c r="A1318" t="s">
        <v>1298</v>
      </c>
      <c r="B1318" t="str">
        <f>HYPERLINK("き/きょう　（狂）●陽厥大驚発狂　第二　0300　鍼灸甲乙経　皇甫謐_ページ_3.jpg")</f>
        <v>き/きょう　（狂）●陽厥大驚発狂　第二　0300　鍼灸甲乙経　皇甫謐_ページ_3.jpg</v>
      </c>
    </row>
    <row r="1319" spans="1:2" x14ac:dyDescent="0.15">
      <c r="A1319" t="s">
        <v>1299</v>
      </c>
      <c r="B1319" t="str">
        <f>HYPERLINK("き/きょう　（狂）●陽厥大驚発狂　第二　0300　鍼灸甲乙経　皇甫謐_ページ_4.jpg")</f>
        <v>き/きょう　（狂）●陽厥大驚発狂　第二　0300　鍼灸甲乙経　皇甫謐_ページ_4.jpg</v>
      </c>
    </row>
    <row r="1320" spans="1:2" x14ac:dyDescent="0.15">
      <c r="A1320" t="s">
        <v>1300</v>
      </c>
      <c r="B1320" t="str">
        <f>HYPERLINK("き/きょう　（狂）●陽厥大驚発狂　第二　0300　鍼灸甲乙経　皇甫謐_ページ_5.jpg")</f>
        <v>き/きょう　（狂）●陽厥大驚発狂　第二　0300　鍼灸甲乙経　皇甫謐_ページ_5.jpg</v>
      </c>
    </row>
    <row r="1321" spans="1:2" x14ac:dyDescent="0.15">
      <c r="A1321" t="s">
        <v>1301</v>
      </c>
      <c r="B1321" t="str">
        <f>HYPERLINK("き/きょう　（胸脇満痛）●肝受病及衛気留積発胸脇満痛　第四　0300　鍼灸甲乙経　皇甫謐_ページ_1.jpg")</f>
        <v>き/きょう　（胸脇満痛）●肝受病及衛気留積発胸脇満痛　第四　0300　鍼灸甲乙経　皇甫謐_ページ_1.jpg</v>
      </c>
    </row>
    <row r="1322" spans="1:2" x14ac:dyDescent="0.15">
      <c r="A1322" t="s">
        <v>1302</v>
      </c>
      <c r="B1322" t="str">
        <f>HYPERLINK("き/きょう　（胸脇満痛）●肝受病及衛気留積発胸脇満痛　第四　0300　鍼灸甲乙経　皇甫謐_ページ_2.jpg")</f>
        <v>き/きょう　（胸脇満痛）●肝受病及衛気留積発胸脇満痛　第四　0300　鍼灸甲乙経　皇甫謐_ページ_2.jpg</v>
      </c>
    </row>
    <row r="1323" spans="1:2" x14ac:dyDescent="0.15">
      <c r="A1323" t="s">
        <v>1303</v>
      </c>
      <c r="B1323" t="str">
        <f>HYPERLINK("き/きん　噤風　撮口　臍風　1669　鍼灸枢要　山本玄通_ページ_1.jpg")</f>
        <v>き/きん　噤風　撮口　臍風　1669　鍼灸枢要　山本玄通_ページ_1.jpg</v>
      </c>
    </row>
    <row r="1324" spans="1:2" x14ac:dyDescent="0.15">
      <c r="A1324" t="s">
        <v>1304</v>
      </c>
      <c r="B1324" t="str">
        <f>HYPERLINK("き/きん　噤風　撮口　臍風　1669　鍼灸枢要　山本玄通_ページ_2.jpg")</f>
        <v>き/きん　噤風　撮口　臍風　1669　鍼灸枢要　山本玄通_ページ_2.jpg</v>
      </c>
    </row>
    <row r="1325" spans="1:2" x14ac:dyDescent="0.15">
      <c r="A1325" t="s">
        <v>1305</v>
      </c>
      <c r="B1325" t="str">
        <f>HYPERLINK("き/きん　噤風　撮口　臍風　1669　鍼灸枢要　山本玄通_ページ_3.jpg")</f>
        <v>き/きん　噤風　撮口　臍風　1669　鍼灸枢要　山本玄通_ページ_3.jpg</v>
      </c>
    </row>
    <row r="1326" spans="1:2" x14ac:dyDescent="0.15">
      <c r="A1326" t="s">
        <v>1306</v>
      </c>
      <c r="B1326" t="str">
        <f>HYPERLINK("き/きん　噤風　撮口　臍風　1669　鍼灸枢要　山本玄通_ページ_4.jpg")</f>
        <v>き/きん　噤風　撮口　臍風　1669　鍼灸枢要　山本玄通_ページ_4.jpg</v>
      </c>
    </row>
    <row r="1327" spans="1:2" x14ac:dyDescent="0.15">
      <c r="A1327" t="s">
        <v>1307</v>
      </c>
      <c r="B1327" t="str">
        <f>HYPERLINK("き/きん　噤風　撮口　臍風　1800　鍼灸備要　小坂元祐_ページ_1.jpg")</f>
        <v>き/きん　噤風　撮口　臍風　1800　鍼灸備要　小坂元祐_ページ_1.jpg</v>
      </c>
    </row>
    <row r="1328" spans="1:2" x14ac:dyDescent="0.15">
      <c r="A1328" t="s">
        <v>1308</v>
      </c>
      <c r="B1328" t="str">
        <f>HYPERLINK("き/きん　噤風　撮口　臍風　1800　鍼灸備要　小坂元祐_ページ_2.jpg")</f>
        <v>き/きん　噤風　撮口　臍風　1800　鍼灸備要　小坂元祐_ページ_2.jpg</v>
      </c>
    </row>
    <row r="1329" spans="1:2" x14ac:dyDescent="0.15">
      <c r="A1329" t="s">
        <v>1309</v>
      </c>
      <c r="B1329" t="str">
        <f>HYPERLINK("き/きん　噤風　撮口　臍風　1800　鍼灸備要　小坂元祐_ページ_3.jpg")</f>
        <v>き/きん　噤風　撮口　臍風　1800　鍼灸備要　小坂元祐_ページ_3.jpg</v>
      </c>
    </row>
    <row r="1330" spans="1:2" x14ac:dyDescent="0.15">
      <c r="A1330" t="s">
        <v>1310</v>
      </c>
      <c r="B1330" t="str">
        <f>HYPERLINK("き/きん　噤風　撮口　臍風　1800　鍼灸備要　小坂元祐_ページ_4.jpg")</f>
        <v>き/きん　噤風　撮口　臍風　1800　鍼灸備要　小坂元祐_ページ_4.jpg</v>
      </c>
    </row>
    <row r="1331" spans="1:2" x14ac:dyDescent="0.15">
      <c r="A1331" t="s">
        <v>1311</v>
      </c>
      <c r="B1331" t="str">
        <f>HYPERLINK("き/きん　筋急　あしの筋ひきつる人　1780　鍼灸極秘伝　木村太沖.jpg")</f>
        <v>き/きん　筋急　あしの筋ひきつる人　1780　鍼灸極秘伝　木村太沖.jpg</v>
      </c>
    </row>
    <row r="1332" spans="1:2" x14ac:dyDescent="0.15">
      <c r="A1332" t="s">
        <v>1312</v>
      </c>
      <c r="B1332" t="str">
        <f>HYPERLINK("き/きん　緊唇　1563　鍼灸集要　曲直瀬道三.jpg")</f>
        <v>き/きん　緊唇　1563　鍼灸集要　曲直瀬道三.jpg</v>
      </c>
    </row>
    <row r="1333" spans="1:2" x14ac:dyDescent="0.15">
      <c r="A1333" t="s">
        <v>1313</v>
      </c>
      <c r="B1333" t="str">
        <f>HYPERLINK("き/きん　腎虚頭痛　1794　杉山流鍼術　島浦和田一.jpg")</f>
        <v>き/きん　腎虚頭痛　1794　杉山流鍼術　島浦和田一.jpg</v>
      </c>
    </row>
    <row r="1334" spans="1:2" x14ac:dyDescent="0.15">
      <c r="A1334" t="s">
        <v>1314</v>
      </c>
      <c r="B1334" t="str">
        <f>HYPERLINK("き/きん　金瘡　1686　鍼灸要法指南　岩田利斎.jpg")</f>
        <v>き/きん　金瘡　1686　鍼灸要法指南　岩田利斎.jpg</v>
      </c>
    </row>
    <row r="1335" spans="1:2" x14ac:dyDescent="0.15">
      <c r="A1335" t="s">
        <v>1315</v>
      </c>
      <c r="B1335" s="2" t="str">
        <f>HYPERLINK("き/きん　金瘡、お血逆上して心を攻め狂気するもの　きりきずの悪血せめのぼり、気のちがう人　1780　鍼灸極秘伝　木村太沖.jpg")</f>
        <v>き/きん　金瘡、お血逆上して心を攻め狂気するもの　きりきずの悪血せめのぼり、気のちがう人　1780　鍼灸極秘伝　木村太沖.jpg</v>
      </c>
    </row>
    <row r="1336" spans="1:2" x14ac:dyDescent="0.15">
      <c r="A1336" t="s">
        <v>1316</v>
      </c>
      <c r="B1336" t="str">
        <f>HYPERLINK("き/きん　金瘡気附鍼　刀にてきられし人の気つけ　1780　鍼灸極秘伝　木村太沖.jpg")</f>
        <v>き/きん　金瘡気附鍼　刀にてきられし人の気つけ　1780　鍼灸極秘伝　木村太沖.jpg</v>
      </c>
    </row>
    <row r="1337" spans="1:2" x14ac:dyDescent="0.15">
      <c r="A1337" t="s">
        <v>1317</v>
      </c>
      <c r="B1337" t="str">
        <f>HYPERLINK("き/きん　金瘡跌撲血流不止　1765　鍼法弁惑　藤井秀孟_ページ_1.jpg")</f>
        <v>き/きん　金瘡跌撲血流不止　1765　鍼法弁惑　藤井秀孟_ページ_1.jpg</v>
      </c>
    </row>
    <row r="1338" spans="1:2" x14ac:dyDescent="0.15">
      <c r="A1338" t="s">
        <v>1318</v>
      </c>
      <c r="B1338" t="str">
        <f>HYPERLINK("き/きん　金瘡跌撲血流不止　1765　鍼法弁惑　藤井秀孟_ページ_2.jpg")</f>
        <v>き/きん　金瘡跌撲血流不止　1765　鍼法弁惑　藤井秀孟_ページ_2.jpg</v>
      </c>
    </row>
    <row r="1339" spans="1:2" x14ac:dyDescent="0.15">
      <c r="A1339" t="s">
        <v>1319</v>
      </c>
      <c r="B1339" t="str">
        <f>HYPERLINK("き/きん　金瘡跌撲血流不止　1765　鍼法弁惑　藤井秀孟_ページ_3.jpg")</f>
        <v>き/きん　金瘡跌撲血流不止　1765　鍼法弁惑　藤井秀孟_ページ_3.jpg</v>
      </c>
    </row>
    <row r="1340" spans="1:2" x14ac:dyDescent="0.15">
      <c r="A1340" t="s">
        <v>1320</v>
      </c>
      <c r="B1340" t="str">
        <f>HYPERLINK("ぎ/ぎゃく　瘧　0300　●陰陽相移発三瘧　第五　鍼灸甲乙経　皇甫謐_ページ_1.jpg")</f>
        <v>ぎ/ぎゃく　瘧　0300　●陰陽相移発三瘧　第五　鍼灸甲乙経　皇甫謐_ページ_1.jpg</v>
      </c>
    </row>
    <row r="1341" spans="1:2" x14ac:dyDescent="0.15">
      <c r="A1341" t="s">
        <v>1321</v>
      </c>
      <c r="B1341" t="str">
        <f>HYPERLINK("ぎ/ぎゃく　瘧　0300　●陰陽相移発三瘧　第五　鍼灸甲乙経　皇甫謐_ページ_2.jpg")</f>
        <v>ぎ/ぎゃく　瘧　0300　●陰陽相移発三瘧　第五　鍼灸甲乙経　皇甫謐_ページ_2.jpg</v>
      </c>
    </row>
    <row r="1342" spans="1:2" x14ac:dyDescent="0.15">
      <c r="A1342" t="s">
        <v>1322</v>
      </c>
      <c r="B1342" t="str">
        <f>HYPERLINK("ぎ/ぎゃく　瘧　0300　●陰陽相移発三瘧　第五　鍼灸甲乙経　皇甫謐_ページ_3.jpg")</f>
        <v>ぎ/ぎゃく　瘧　0300　●陰陽相移発三瘧　第五　鍼灸甲乙経　皇甫謐_ページ_3.jpg</v>
      </c>
    </row>
    <row r="1343" spans="1:2" x14ac:dyDescent="0.15">
      <c r="A1343" t="s">
        <v>1323</v>
      </c>
      <c r="B1343" t="str">
        <f>HYPERLINK("ぎ/ぎゃく　瘧　0300　●陰陽相移発三瘧　第五　鍼灸甲乙経　皇甫謐_ページ_4.jpg")</f>
        <v>ぎ/ぎゃく　瘧　0300　●陰陽相移発三瘧　第五　鍼灸甲乙経　皇甫謐_ページ_4.jpg</v>
      </c>
    </row>
    <row r="1344" spans="1:2" x14ac:dyDescent="0.15">
      <c r="A1344" t="s">
        <v>1324</v>
      </c>
      <c r="B1344" t="str">
        <f>HYPERLINK("ぎ/ぎゃく　瘧　0300　●陰陽相移発三瘧　第五　鍼灸甲乙経　皇甫謐_ページ_5.jpg")</f>
        <v>ぎ/ぎゃく　瘧　0300　●陰陽相移発三瘧　第五　鍼灸甲乙経　皇甫謐_ページ_5.jpg</v>
      </c>
    </row>
    <row r="1345" spans="1:2" x14ac:dyDescent="0.15">
      <c r="A1345" t="s">
        <v>1325</v>
      </c>
      <c r="B1345" t="str">
        <f>HYPERLINK("ぎ/ぎゃく　瘧　0300　●陰陽相移発三瘧　第五　鍼灸甲乙経　皇甫謐_ページ_6.jpg")</f>
        <v>ぎ/ぎゃく　瘧　0300　●陰陽相移発三瘧　第五　鍼灸甲乙経　皇甫謐_ページ_6.jpg</v>
      </c>
    </row>
    <row r="1346" spans="1:2" x14ac:dyDescent="0.15">
      <c r="A1346" t="s">
        <v>1326</v>
      </c>
      <c r="B1346" t="str">
        <f>HYPERLINK("ぎ/ぎゃく　瘧　0300　●陰陽相移発三瘧　第五　鍼灸甲乙経　皇甫謐_ページ_7.jpg")</f>
        <v>ぎ/ぎゃく　瘧　0300　●陰陽相移発三瘧　第五　鍼灸甲乙経　皇甫謐_ページ_7.jpg</v>
      </c>
    </row>
    <row r="1347" spans="1:2" x14ac:dyDescent="0.15">
      <c r="A1347" t="s">
        <v>1327</v>
      </c>
      <c r="B1347" t="str">
        <f>HYPERLINK("ぎ/ぎゃく　瘧　0650　千金方　孫思ばく_ページ_1.jpg")</f>
        <v>ぎ/ぎゃく　瘧　0650　千金方　孫思ばく_ページ_1.jpg</v>
      </c>
    </row>
    <row r="1348" spans="1:2" x14ac:dyDescent="0.15">
      <c r="A1348" t="s">
        <v>1328</v>
      </c>
      <c r="B1348" t="str">
        <f>HYPERLINK("ぎ/ぎゃく　瘧　0650　千金方　孫思ばく_ページ_2.jpg")</f>
        <v>ぎ/ぎゃく　瘧　0650　千金方　孫思ばく_ページ_2.jpg</v>
      </c>
    </row>
    <row r="1349" spans="1:2" x14ac:dyDescent="0.15">
      <c r="A1349" t="s">
        <v>1329</v>
      </c>
      <c r="B1349" t="str">
        <f>HYPERLINK("ぎ/ぎゃく　瘧　1220　（脾寒）　鍼灸資生経　王執中_ページ_1.jpg")</f>
        <v>ぎ/ぎゃく　瘧　1220　（脾寒）　鍼灸資生経　王執中_ページ_1.jpg</v>
      </c>
    </row>
    <row r="1350" spans="1:2" x14ac:dyDescent="0.15">
      <c r="A1350" t="s">
        <v>1330</v>
      </c>
      <c r="B1350" t="str">
        <f>HYPERLINK("ぎ/ぎゃく　瘧　1220　（脾寒）　鍼灸資生経　王執中_ページ_2.jpg")</f>
        <v>ぎ/ぎゃく　瘧　1220　（脾寒）　鍼灸資生経　王執中_ページ_2.jpg</v>
      </c>
    </row>
    <row r="1351" spans="1:2" x14ac:dyDescent="0.15">
      <c r="A1351" t="s">
        <v>1331</v>
      </c>
      <c r="B1351" t="str">
        <f>HYPERLINK("ぎ/ぎゃく　瘧　1220　（脾寒）鍼灸資生経　王執中_ページ_3.jpg")</f>
        <v>ぎ/ぎゃく　瘧　1220　（脾寒）鍼灸資生経　王執中_ページ_3.jpg</v>
      </c>
    </row>
    <row r="1352" spans="1:2" x14ac:dyDescent="0.15">
      <c r="A1352" t="s">
        <v>1332</v>
      </c>
      <c r="B1352" t="str">
        <f>HYPERLINK("ぎ/ぎゃく　瘧　1299　灸諸瘧　続添要穴集　惟宗時俊.jpg")</f>
        <v>ぎ/ぎゃく　瘧　1299　灸諸瘧　続添要穴集　惟宗時俊.jpg</v>
      </c>
    </row>
    <row r="1353" spans="1:2" x14ac:dyDescent="0.15">
      <c r="A1353" t="s">
        <v>1333</v>
      </c>
      <c r="B1353" t="str">
        <f>HYPERLINK("ぎ/ぎゃく　瘧　1537　鍼灸聚英　明・高武.jpg")</f>
        <v>ぎ/ぎゃく　瘧　1537　鍼灸聚英　明・高武.jpg</v>
      </c>
    </row>
    <row r="1354" spans="1:2" x14ac:dyDescent="0.15">
      <c r="A1354" t="s">
        <v>1334</v>
      </c>
      <c r="B1354" t="str">
        <f>HYPERLINK("ぎ/ぎゃく　瘧　1563　鍼灸集要　曲直瀬道三.jpg")</f>
        <v>ぎ/ぎゃく　瘧　1563　鍼灸集要　曲直瀬道三.jpg</v>
      </c>
    </row>
    <row r="1355" spans="1:2" x14ac:dyDescent="0.15">
      <c r="A1355" t="s">
        <v>1335</v>
      </c>
      <c r="B1355" t="str">
        <f>HYPERLINK("ぎ/ぎゃく　瘧　1594　経脈方寸秘書　曲直瀬道三_ページ_1.jpg")</f>
        <v>ぎ/ぎゃく　瘧　1594　経脈方寸秘書　曲直瀬道三_ページ_1.jpg</v>
      </c>
    </row>
    <row r="1356" spans="1:2" x14ac:dyDescent="0.15">
      <c r="A1356" t="s">
        <v>1336</v>
      </c>
      <c r="B1356" t="str">
        <f>HYPERLINK("ぎ/ぎゃく　瘧　1594　経脈方寸秘書　曲直瀬道三_ページ_2.jpg")</f>
        <v>ぎ/ぎゃく　瘧　1594　経脈方寸秘書　曲直瀬道三_ページ_2.jpg</v>
      </c>
    </row>
    <row r="1357" spans="1:2" x14ac:dyDescent="0.15">
      <c r="A1357" t="s">
        <v>1337</v>
      </c>
      <c r="B1357" t="str">
        <f>HYPERLINK("ぎ/ぎゃく　瘧　1607　扁鵲新流鍼書　越齋寿閑.jpg")</f>
        <v>ぎ/ぎゃく　瘧　1607　扁鵲新流鍼書　越齋寿閑.jpg</v>
      </c>
    </row>
    <row r="1358" spans="1:2" x14ac:dyDescent="0.15">
      <c r="A1358" t="s">
        <v>1338</v>
      </c>
      <c r="B1358" t="str">
        <f>HYPERLINK("ぎ/ぎゃく　瘧　1679　鍼法奇貨　渡辺東伯_ページ_1.jpg")</f>
        <v>ぎ/ぎゃく　瘧　1679　鍼法奇貨　渡辺東伯_ページ_1.jpg</v>
      </c>
    </row>
    <row r="1359" spans="1:2" x14ac:dyDescent="0.15">
      <c r="A1359" t="s">
        <v>1339</v>
      </c>
      <c r="B1359" t="str">
        <f>HYPERLINK("ぎ/ぎゃく　瘧　1679　鍼法奇貨　渡辺東伯_ページ_2.jpg")</f>
        <v>ぎ/ぎゃく　瘧　1679　鍼法奇貨　渡辺東伯_ページ_2.jpg</v>
      </c>
    </row>
    <row r="1360" spans="1:2" x14ac:dyDescent="0.15">
      <c r="A1360" t="s">
        <v>1340</v>
      </c>
      <c r="B1360" t="str">
        <f>HYPERLINK("ぎ/ぎゃく　瘧　1679　鍼法奇貨　渡辺東伯_ページ_3.jpg")</f>
        <v>ぎ/ぎゃく　瘧　1679　鍼法奇貨　渡辺東伯_ページ_3.jpg</v>
      </c>
    </row>
    <row r="1361" spans="1:2" x14ac:dyDescent="0.15">
      <c r="A1361" t="s">
        <v>1341</v>
      </c>
      <c r="B1361" t="str">
        <f>HYPERLINK("ぎ/ぎゃく　瘧　1679　鍼法奇貨　渡辺東伯_ページ_4.jpg")</f>
        <v>ぎ/ぎゃく　瘧　1679　鍼法奇貨　渡辺東伯_ページ_4.jpg</v>
      </c>
    </row>
    <row r="1362" spans="1:2" x14ac:dyDescent="0.15">
      <c r="A1362" t="s">
        <v>1342</v>
      </c>
      <c r="B1362" t="str">
        <f>HYPERLINK("ぎ/ぎゃく　瘧　1680　鍼灸抜萃　著者未詳.jpg")</f>
        <v>ぎ/ぎゃく　瘧　1680　鍼灸抜萃　著者未詳.jpg</v>
      </c>
    </row>
    <row r="1363" spans="1:2" x14ac:dyDescent="0.15">
      <c r="A1363" t="s">
        <v>1343</v>
      </c>
      <c r="B1363" t="str">
        <f>HYPERLINK("ぎ/ぎゃく　瘧　1693　鍼灸要歌集　安井昌玄_ページ_1.jpg")</f>
        <v>ぎ/ぎゃく　瘧　1693　鍼灸要歌集　安井昌玄_ページ_1.jpg</v>
      </c>
    </row>
    <row r="1364" spans="1:2" x14ac:dyDescent="0.15">
      <c r="A1364" t="s">
        <v>1344</v>
      </c>
      <c r="B1364" t="str">
        <f>HYPERLINK("ぎ/ぎゃく　瘧　1693　鍼灸要歌集　安井昌玄_ページ_2.jpg")</f>
        <v>ぎ/ぎゃく　瘧　1693　鍼灸要歌集　安井昌玄_ページ_2.jpg</v>
      </c>
    </row>
    <row r="1365" spans="1:2" x14ac:dyDescent="0.15">
      <c r="A1365" t="s">
        <v>1345</v>
      </c>
      <c r="B1365" t="str">
        <f>HYPERLINK("ぎ/ぎゃく　瘧　1694　鍼灸そかい集　高津敬節_ページ_1.jpg")</f>
        <v>ぎ/ぎゃく　瘧　1694　鍼灸そかい集　高津敬節_ページ_1.jpg</v>
      </c>
    </row>
    <row r="1366" spans="1:2" x14ac:dyDescent="0.15">
      <c r="A1366" t="s">
        <v>1346</v>
      </c>
      <c r="B1366" t="str">
        <f>HYPERLINK("ぎ/ぎゃく　瘧　1694　鍼灸そかい集　高津敬節_ページ_2.jpg")</f>
        <v>ぎ/ぎゃく　瘧　1694　鍼灸そかい集　高津敬節_ページ_2.jpg</v>
      </c>
    </row>
    <row r="1367" spans="1:2" x14ac:dyDescent="0.15">
      <c r="A1367" t="s">
        <v>1347</v>
      </c>
      <c r="B1367" t="str">
        <f>HYPERLINK("ぎ/ぎゃく　瘧　1696　広益鍼灸抜萃　著者未詳_ページ_1.jpg")</f>
        <v>ぎ/ぎゃく　瘧　1696　広益鍼灸抜萃　著者未詳_ページ_1.jpg</v>
      </c>
    </row>
    <row r="1368" spans="1:2" x14ac:dyDescent="0.15">
      <c r="A1368" t="s">
        <v>1348</v>
      </c>
      <c r="B1368" t="str">
        <f>HYPERLINK("ぎ/ぎゃく　瘧　1696　広益鍼灸抜萃　著者未詳_ページ_2.jpg")</f>
        <v>ぎ/ぎゃく　瘧　1696　広益鍼灸抜萃　著者未詳_ページ_2.jpg</v>
      </c>
    </row>
    <row r="1369" spans="1:2" x14ac:dyDescent="0.15">
      <c r="A1369" t="s">
        <v>1349</v>
      </c>
      <c r="B1369" t="str">
        <f>HYPERLINK("ぎ/ぎゃく　瘧　1696　広益鍼灸抜萃　著者未詳_ページ_3.jpg")</f>
        <v>ぎ/ぎゃく　瘧　1696　広益鍼灸抜萃　著者未詳_ページ_3.jpg</v>
      </c>
    </row>
    <row r="1370" spans="1:2" x14ac:dyDescent="0.15">
      <c r="A1370" t="s">
        <v>1350</v>
      </c>
      <c r="B1370" t="str">
        <f>HYPERLINK("ぎ/ぎゃく　瘧　1767　鍼灸則　菅沼周桂.jpg")</f>
        <v>ぎ/ぎゃく　瘧　1767　鍼灸則　菅沼周桂.jpg</v>
      </c>
    </row>
    <row r="1371" spans="1:2" x14ac:dyDescent="0.15">
      <c r="A1371" t="s">
        <v>1351</v>
      </c>
      <c r="B1371" t="str">
        <f>HYPERLINK("ぎ/ぎゃく　瘧　1794　杉山流鍼術　島浦和田一.jpg")</f>
        <v>ぎ/ぎゃく　瘧　1794　杉山流鍼術　島浦和田一.jpg</v>
      </c>
    </row>
    <row r="1372" spans="1:2" x14ac:dyDescent="0.15">
      <c r="A1372" t="s">
        <v>1352</v>
      </c>
      <c r="B1372" t="str">
        <f>HYPERLINK("ぎ/ぎゃく　瘧　1813　名家灸選　浅井惟亨_ページ_1.jpg")</f>
        <v>ぎ/ぎゃく　瘧　1813　名家灸選　浅井惟亨_ページ_1.jpg</v>
      </c>
    </row>
    <row r="1373" spans="1:2" x14ac:dyDescent="0.15">
      <c r="A1373" t="s">
        <v>1353</v>
      </c>
      <c r="B1373" t="str">
        <f>HYPERLINK("ぎ/ぎゃく　瘧　1813　名家灸選　浅井惟亨_ページ_2.jpg")</f>
        <v>ぎ/ぎゃく　瘧　1813　名家灸選　浅井惟亨_ページ_2.jpg</v>
      </c>
    </row>
    <row r="1374" spans="1:2" x14ac:dyDescent="0.15">
      <c r="A1374" t="s">
        <v>1354</v>
      </c>
      <c r="B1374" t="str">
        <f>HYPERLINK("ぎ/ぎゃく　瘧妙灸　1594　経脈方寸秘書　曲直瀬道三.jpg")</f>
        <v>ぎ/ぎゃく　瘧妙灸　1594　経脈方寸秘書　曲直瀬道三.jpg</v>
      </c>
    </row>
    <row r="1375" spans="1:2" x14ac:dyDescent="0.15">
      <c r="A1375" t="s">
        <v>1355</v>
      </c>
      <c r="B1375" t="str">
        <f>HYPERLINK("ぎ/ぎゃく　瘧母之針　1685　鍼道秘訣集　御園夢分斎.jpg")</f>
        <v>ぎ/ぎゃく　瘧母之針　1685　鍼道秘訣集　御園夢分斎.jpg</v>
      </c>
    </row>
    <row r="1376" spans="1:2" x14ac:dyDescent="0.15">
      <c r="A1376" t="s">
        <v>1356</v>
      </c>
      <c r="B1376" t="str">
        <f>HYPERLINK("ぎ/ぎゃく　瘧母（ぎやくも）　をこりのかたまり　脾臓肥大　1887（明治20）　鍼灸備要　青山道醇.jpg")</f>
        <v>ぎ/ぎゃく　瘧母（ぎやくも）　をこりのかたまり　脾臓肥大　1887（明治20）　鍼灸備要　青山道醇.jpg</v>
      </c>
    </row>
    <row r="1377" spans="1:2" x14ac:dyDescent="0.15">
      <c r="A1377" t="s">
        <v>1357</v>
      </c>
      <c r="B1377" t="str">
        <f>HYPERLINK("ぎ/ぎゃく　瘧疾-02　1758　灸ぜつ塩土伝　三宅意安_ページ_1.jpg")</f>
        <v>ぎ/ぎゃく　瘧疾-02　1758　灸ぜつ塩土伝　三宅意安_ページ_1.jpg</v>
      </c>
    </row>
    <row r="1378" spans="1:2" x14ac:dyDescent="0.15">
      <c r="A1378" t="s">
        <v>1358</v>
      </c>
      <c r="B1378" t="str">
        <f>HYPERLINK("ぎ/ぎゃく　瘧疾-02　1758　灸ぜつ塩土伝　三宅意安_ページ_2.jpg")</f>
        <v>ぎ/ぎゃく　瘧疾-02　1758　灸ぜつ塩土伝　三宅意安_ページ_2.jpg</v>
      </c>
    </row>
    <row r="1379" spans="1:2" x14ac:dyDescent="0.15">
      <c r="A1379" t="s">
        <v>1359</v>
      </c>
      <c r="B1379" t="str">
        <f>HYPERLINK("ぎ/ぎゃく　瘧疾-03　1758　灸ぜつ塩土伝　三宅意安_ページ_1.jpg")</f>
        <v>ぎ/ぎゃく　瘧疾-03　1758　灸ぜつ塩土伝　三宅意安_ページ_1.jpg</v>
      </c>
    </row>
    <row r="1380" spans="1:2" x14ac:dyDescent="0.15">
      <c r="A1380" t="s">
        <v>1360</v>
      </c>
      <c r="B1380" t="str">
        <f>HYPERLINK("ぎ/ぎゃく　瘧疾-03　1758　灸ぜつ塩土伝　三宅意安_ページ_2.jpg")</f>
        <v>ぎ/ぎゃく　瘧疾-03　1758　灸ぜつ塩土伝　三宅意安_ページ_2.jpg</v>
      </c>
    </row>
    <row r="1381" spans="1:2" x14ac:dyDescent="0.15">
      <c r="A1381" t="s">
        <v>1361</v>
      </c>
      <c r="B1381" t="str">
        <f>HYPERLINK("ぎ/ぎゃく　瘧疾　1329　扁鵲神応鍼灸玉龍経　元・王国瑞_ページ_1.jpg")</f>
        <v>ぎ/ぎゃく　瘧疾　1329　扁鵲神応鍼灸玉龍経　元・王国瑞_ページ_1.jpg</v>
      </c>
    </row>
    <row r="1382" spans="1:2" x14ac:dyDescent="0.15">
      <c r="A1382" t="s">
        <v>1362</v>
      </c>
      <c r="B1382" t="str">
        <f>HYPERLINK("ぎ/ぎゃく　瘧疾　1329　扁鵲神応鍼灸玉龍経　元・王国瑞_ページ_2.jpg")</f>
        <v>ぎ/ぎゃく　瘧疾　1329　扁鵲神応鍼灸玉龍経　元・王国瑞_ページ_2.jpg</v>
      </c>
    </row>
    <row r="1383" spans="1:2" x14ac:dyDescent="0.15">
      <c r="A1383" t="s">
        <v>1363</v>
      </c>
      <c r="B1383" t="str">
        <f>HYPERLINK("ぎ/ぎゃく　瘧疾　1425　神応経　明・陳会撰・劉瑾重校.jpg")</f>
        <v>ぎ/ぎゃく　瘧疾　1425　神応経　明・陳会撰・劉瑾重校.jpg</v>
      </c>
    </row>
    <row r="1384" spans="1:2" x14ac:dyDescent="0.15">
      <c r="A1384" t="s">
        <v>1364</v>
      </c>
      <c r="B1384" t="str">
        <f>HYPERLINK("ぎ/ぎゃく　瘧疾　1574　兪穴参伍的法　秦宗巴_ページ_1.jpg")</f>
        <v>ぎ/ぎゃく　瘧疾　1574　兪穴参伍的法　秦宗巴_ページ_1.jpg</v>
      </c>
    </row>
    <row r="1385" spans="1:2" x14ac:dyDescent="0.15">
      <c r="A1385" t="s">
        <v>1365</v>
      </c>
      <c r="B1385" t="str">
        <f>HYPERLINK("ぎ/ぎゃく　瘧疾　1574　兪穴参伍的法　秦宗巴_ページ_2.jpg")</f>
        <v>ぎ/ぎゃく　瘧疾　1574　兪穴参伍的法　秦宗巴_ページ_2.jpg</v>
      </c>
    </row>
    <row r="1386" spans="1:2" x14ac:dyDescent="0.15">
      <c r="A1386" t="s">
        <v>1366</v>
      </c>
      <c r="B1386" t="str">
        <f>HYPERLINK("ぎ/ぎゃく　瘧疾　1624　類経図翼　明・張介賓_ページ_1.jpg")</f>
        <v>ぎ/ぎゃく　瘧疾　1624　類経図翼　明・張介賓_ページ_1.jpg</v>
      </c>
    </row>
    <row r="1387" spans="1:2" x14ac:dyDescent="0.15">
      <c r="A1387" t="s">
        <v>1367</v>
      </c>
      <c r="B1387" t="str">
        <f>HYPERLINK("ぎ/ぎゃく　瘧疾　1624　類経図翼　明・張介賓_ページ_2.jpg")</f>
        <v>ぎ/ぎゃく　瘧疾　1624　類経図翼　明・張介賓_ページ_2.jpg</v>
      </c>
    </row>
    <row r="1388" spans="1:2" x14ac:dyDescent="0.15">
      <c r="A1388" t="s">
        <v>1368</v>
      </c>
      <c r="B1388" t="str">
        <f>HYPERLINK("ぎ/ぎゃく　瘧疾　1669　鍼灸枢要　山本玄通_ページ_01.jpg")</f>
        <v>ぎ/ぎゃく　瘧疾　1669　鍼灸枢要　山本玄通_ページ_01.jpg</v>
      </c>
    </row>
    <row r="1389" spans="1:2" x14ac:dyDescent="0.15">
      <c r="A1389" t="s">
        <v>1369</v>
      </c>
      <c r="B1389" t="str">
        <f>HYPERLINK("ぎ/ぎゃく　瘧疾　1669　鍼灸枢要　山本玄通_ページ_02.jpg")</f>
        <v>ぎ/ぎゃく　瘧疾　1669　鍼灸枢要　山本玄通_ページ_02.jpg</v>
      </c>
    </row>
    <row r="1390" spans="1:2" x14ac:dyDescent="0.15">
      <c r="A1390" t="s">
        <v>1370</v>
      </c>
      <c r="B1390" t="str">
        <f>HYPERLINK("ぎ/ぎゃく　瘧疾　1669　鍼灸枢要　山本玄通_ページ_03.jpg")</f>
        <v>ぎ/ぎゃく　瘧疾　1669　鍼灸枢要　山本玄通_ページ_03.jpg</v>
      </c>
    </row>
    <row r="1391" spans="1:2" x14ac:dyDescent="0.15">
      <c r="A1391" t="s">
        <v>1371</v>
      </c>
      <c r="B1391" t="str">
        <f>HYPERLINK("ぎ/ぎゃく　瘧疾　1669　鍼灸枢要　山本玄通_ページ_04.jpg")</f>
        <v>ぎ/ぎゃく　瘧疾　1669　鍼灸枢要　山本玄通_ページ_04.jpg</v>
      </c>
    </row>
    <row r="1392" spans="1:2" x14ac:dyDescent="0.15">
      <c r="A1392" t="s">
        <v>1372</v>
      </c>
      <c r="B1392" t="str">
        <f>HYPERLINK("ぎ/ぎゃく　瘧疾　1669　鍼灸枢要　山本玄通_ページ_05.jpg")</f>
        <v>ぎ/ぎゃく　瘧疾　1669　鍼灸枢要　山本玄通_ページ_05.jpg</v>
      </c>
    </row>
    <row r="1393" spans="1:2" x14ac:dyDescent="0.15">
      <c r="A1393" t="s">
        <v>1373</v>
      </c>
      <c r="B1393" t="str">
        <f>HYPERLINK("ぎ/ぎゃく　瘧疾　1669　鍼灸枢要　山本玄通_ページ_06.jpg")</f>
        <v>ぎ/ぎゃく　瘧疾　1669　鍼灸枢要　山本玄通_ページ_06.jpg</v>
      </c>
    </row>
    <row r="1394" spans="1:2" x14ac:dyDescent="0.15">
      <c r="A1394" t="s">
        <v>1374</v>
      </c>
      <c r="B1394" t="str">
        <f>HYPERLINK("ぎ/ぎゃく　瘧疾　1669　鍼灸枢要　山本玄通_ページ_07.jpg")</f>
        <v>ぎ/ぎゃく　瘧疾　1669　鍼灸枢要　山本玄通_ページ_07.jpg</v>
      </c>
    </row>
    <row r="1395" spans="1:2" x14ac:dyDescent="0.15">
      <c r="A1395" t="s">
        <v>1375</v>
      </c>
      <c r="B1395" t="str">
        <f>HYPERLINK("ぎ/ぎゃく　瘧疾　1669　鍼灸枢要　山本玄通_ページ_08.jpg")</f>
        <v>ぎ/ぎゃく　瘧疾　1669　鍼灸枢要　山本玄通_ページ_08.jpg</v>
      </c>
    </row>
    <row r="1396" spans="1:2" x14ac:dyDescent="0.15">
      <c r="A1396" t="s">
        <v>1376</v>
      </c>
      <c r="B1396" t="str">
        <f>HYPERLINK("ぎ/ぎゃく　瘧疾　1669　鍼灸枢要　山本玄通_ページ_09.jpg")</f>
        <v>ぎ/ぎゃく　瘧疾　1669　鍼灸枢要　山本玄通_ページ_09.jpg</v>
      </c>
    </row>
    <row r="1397" spans="1:2" x14ac:dyDescent="0.15">
      <c r="A1397" t="s">
        <v>1377</v>
      </c>
      <c r="B1397" t="str">
        <f>HYPERLINK("ぎ/ぎゃく　瘧疾　1669　鍼灸枢要　山本玄通_ページ_10.jpg")</f>
        <v>ぎ/ぎゃく　瘧疾　1669　鍼灸枢要　山本玄通_ページ_10.jpg</v>
      </c>
    </row>
    <row r="1398" spans="1:2" x14ac:dyDescent="0.15">
      <c r="A1398" t="s">
        <v>1378</v>
      </c>
      <c r="B1398" t="str">
        <f>HYPERLINK("ぎ/ぎゃく　瘧疾　1669　鍼灸枢要　山本玄通_ページ_11.jpg")</f>
        <v>ぎ/ぎゃく　瘧疾　1669　鍼灸枢要　山本玄通_ページ_11.jpg</v>
      </c>
    </row>
    <row r="1399" spans="1:2" x14ac:dyDescent="0.15">
      <c r="A1399" t="s">
        <v>1379</v>
      </c>
      <c r="B1399" t="str">
        <f>HYPERLINK("ぎ/ぎゃく　瘧疾　1669　鍼灸枢要　山本玄通_ページ_12.jpg")</f>
        <v>ぎ/ぎゃく　瘧疾　1669　鍼灸枢要　山本玄通_ページ_12.jpg</v>
      </c>
    </row>
    <row r="1400" spans="1:2" x14ac:dyDescent="0.15">
      <c r="A1400" t="s">
        <v>1380</v>
      </c>
      <c r="B1400" t="str">
        <f>HYPERLINK("ぎ/ぎゃく　瘧疾　1669　鍼灸枢要　山本玄通_ページ_13.jpg")</f>
        <v>ぎ/ぎゃく　瘧疾　1669　鍼灸枢要　山本玄通_ページ_13.jpg</v>
      </c>
    </row>
    <row r="1401" spans="1:2" x14ac:dyDescent="0.15">
      <c r="A1401" t="s">
        <v>1381</v>
      </c>
      <c r="B1401" t="str">
        <f>HYPERLINK("ぎ/ぎゃく　瘧疾　1669　鍼灸枢要　山本玄通_ページ_14.jpg")</f>
        <v>ぎ/ぎゃく　瘧疾　1669　鍼灸枢要　山本玄通_ページ_14.jpg</v>
      </c>
    </row>
    <row r="1402" spans="1:2" x14ac:dyDescent="0.15">
      <c r="A1402" t="s">
        <v>1382</v>
      </c>
      <c r="B1402" t="str">
        <f>HYPERLINK("ぎ/ぎゃく　瘧疾　1694　選鍼三要集　杉山和一.jpg")</f>
        <v>ぎ/ぎゃく　瘧疾　1694　選鍼三要集　杉山和一.jpg</v>
      </c>
    </row>
    <row r="1403" spans="1:2" x14ac:dyDescent="0.15">
      <c r="A1403" t="s">
        <v>1383</v>
      </c>
      <c r="B1403" t="str">
        <f>HYPERLINK("ぎ/ぎゃく　瘧疾　1698　鍼灸抜粋大成　岡本一抱.jpg")</f>
        <v>ぎ/ぎゃく　瘧疾　1698　鍼灸抜粋大成　岡本一抱.jpg</v>
      </c>
    </row>
    <row r="1404" spans="1:2" x14ac:dyDescent="0.15">
      <c r="A1404" t="s">
        <v>1384</v>
      </c>
      <c r="B1404" t="str">
        <f>HYPERLINK("ぎ/ぎゃく　瘧疾　1758　灸ぜつ塩土伝　三宅意安.jpg")</f>
        <v>ぎ/ぎゃく　瘧疾　1758　灸ぜつ塩土伝　三宅意安.jpg</v>
      </c>
    </row>
    <row r="1405" spans="1:2" x14ac:dyDescent="0.15">
      <c r="A1405" t="s">
        <v>1385</v>
      </c>
      <c r="B1405" t="str">
        <f>HYPERLINK("ぎ/ぎゃく　瘧疾　1761　挨穴捷径　杉原敦.jpg")</f>
        <v>ぎ/ぎゃく　瘧疾　1761　挨穴捷径　杉原敦.jpg</v>
      </c>
    </row>
    <row r="1406" spans="1:2" x14ac:dyDescent="0.15">
      <c r="A1406" t="s">
        <v>1386</v>
      </c>
      <c r="B1406" t="str">
        <f>HYPERLINK("ぎ/ぎゃく　瘧疾　1765　鍼法弁惑　藤井秀孟_ページ_1.jpg")</f>
        <v>ぎ/ぎゃく　瘧疾　1765　鍼法弁惑　藤井秀孟_ページ_1.jpg</v>
      </c>
    </row>
    <row r="1407" spans="1:2" x14ac:dyDescent="0.15">
      <c r="A1407" t="s">
        <v>1387</v>
      </c>
      <c r="B1407" t="str">
        <f>HYPERLINK("ぎ/ぎゃく　瘧疾　1765　鍼法弁惑　藤井秀孟_ページ_2.jpg")</f>
        <v>ぎ/ぎゃく　瘧疾　1765　鍼法弁惑　藤井秀孟_ページ_2.jpg</v>
      </c>
    </row>
    <row r="1408" spans="1:2" x14ac:dyDescent="0.15">
      <c r="A1408" t="s">
        <v>1388</v>
      </c>
      <c r="B1408" t="str">
        <f>HYPERLINK("ぎ/ぎゃく　瘧疾　1765　鍼法弁惑　藤井秀孟_ページ_3.jpg")</f>
        <v>ぎ/ぎゃく　瘧疾　1765　鍼法弁惑　藤井秀孟_ページ_3.jpg</v>
      </c>
    </row>
    <row r="1409" spans="1:2" x14ac:dyDescent="0.15">
      <c r="A1409" t="s">
        <v>1389</v>
      </c>
      <c r="B1409" t="str">
        <f>HYPERLINK("ぎ/ぎゃく　瘧疾　1773　鍼灸手引草　大簡室主人.jpg")</f>
        <v>ぎ/ぎゃく　瘧疾　1773　鍼灸手引草　大簡室主人.jpg</v>
      </c>
    </row>
    <row r="1410" spans="1:2" x14ac:dyDescent="0.15">
      <c r="A1410" t="s">
        <v>1390</v>
      </c>
      <c r="B1410" t="str">
        <f>HYPERLINK("ぎ/ぎゃく　瘧疾　1785　鍼書　本城義軒.jpg")</f>
        <v>ぎ/ぎゃく　瘧疾　1785　鍼書　本城義軒.jpg</v>
      </c>
    </row>
    <row r="1411" spans="1:2" x14ac:dyDescent="0.15">
      <c r="A1411" t="s">
        <v>1391</v>
      </c>
      <c r="B1411" t="str">
        <f>HYPERLINK("ぎ/ぎゃく　瘧疾　1792　鍼法要集　源長起_ページ_1.jpg")</f>
        <v>ぎ/ぎゃく　瘧疾　1792　鍼法要集　源長起_ページ_1.jpg</v>
      </c>
    </row>
    <row r="1412" spans="1:2" x14ac:dyDescent="0.15">
      <c r="A1412" t="s">
        <v>1392</v>
      </c>
      <c r="B1412" t="str">
        <f>HYPERLINK("ぎ/ぎゃく　瘧疾　1792　鍼法要集　源長起_ページ_2.jpg")</f>
        <v>ぎ/ぎゃく　瘧疾　1792　鍼法要集　源長起_ページ_2.jpg</v>
      </c>
    </row>
    <row r="1413" spans="1:2" x14ac:dyDescent="0.15">
      <c r="A1413" t="s">
        <v>1393</v>
      </c>
      <c r="B1413" t="str">
        <f>HYPERLINK("ぎ/ぎゃく　瘧疾　1792　鍼法要集　源長起_ページ_3.jpg")</f>
        <v>ぎ/ぎゃく　瘧疾　1792　鍼法要集　源長起_ページ_3.jpg</v>
      </c>
    </row>
    <row r="1414" spans="1:2" x14ac:dyDescent="0.15">
      <c r="A1414" t="s">
        <v>1394</v>
      </c>
      <c r="B1414" t="str">
        <f>HYPERLINK("ぎ/ぎゃく　瘧疾　1792　鍼法要集　源長起_ページ_4.jpg")</f>
        <v>ぎ/ぎゃく　瘧疾　1792　鍼法要集　源長起_ページ_4.jpg</v>
      </c>
    </row>
    <row r="1415" spans="1:2" x14ac:dyDescent="0.15">
      <c r="A1415" t="s">
        <v>1395</v>
      </c>
      <c r="B1415" t="str">
        <f>HYPERLINK("ぎ/ぎゃく　瘧疾　1800　鍼灸備要　小坂元祐_ページ_1.jpg")</f>
        <v>ぎ/ぎゃく　瘧疾　1800　鍼灸備要　小坂元祐_ページ_1.jpg</v>
      </c>
    </row>
    <row r="1416" spans="1:2" x14ac:dyDescent="0.15">
      <c r="A1416" t="s">
        <v>1396</v>
      </c>
      <c r="B1416" t="str">
        <f>HYPERLINK("ぎ/ぎゃく　瘧疾　1800　鍼灸備要　小坂元祐_ページ_2.jpg")</f>
        <v>ぎ/ぎゃく　瘧疾　1800　鍼灸備要　小坂元祐_ページ_2.jpg</v>
      </c>
    </row>
    <row r="1417" spans="1:2" x14ac:dyDescent="0.15">
      <c r="A1417" t="s">
        <v>1397</v>
      </c>
      <c r="B1417" t="str">
        <f>HYPERLINK("ぎ/ぎゃく　瘧疾　1800　鍼灸備要　小坂元祐_ページ_3.jpg")</f>
        <v>ぎ/ぎゃく　瘧疾　1800　鍼灸備要　小坂元祐_ページ_3.jpg</v>
      </c>
    </row>
    <row r="1418" spans="1:2" x14ac:dyDescent="0.15">
      <c r="A1418" t="s">
        <v>1398</v>
      </c>
      <c r="B1418" t="str">
        <f>HYPERLINK("ぎ/ぎゃく　瘧疾　1807　続名家灸選　平井庸信_ページ_1.jpg")</f>
        <v>ぎ/ぎゃく　瘧疾　1807　続名家灸選　平井庸信_ページ_1.jpg</v>
      </c>
    </row>
    <row r="1419" spans="1:2" x14ac:dyDescent="0.15">
      <c r="A1419" t="s">
        <v>1399</v>
      </c>
      <c r="B1419" t="str">
        <f>HYPERLINK("ぎ/ぎゃく　瘧疾　1807　続名家灸選　平井庸信_ページ_2.jpg")</f>
        <v>ぎ/ぎゃく　瘧疾　1807　続名家灸選　平井庸信_ページ_2.jpg</v>
      </c>
    </row>
    <row r="1420" spans="1:2" x14ac:dyDescent="0.15">
      <c r="A1420" t="s">
        <v>1400</v>
      </c>
      <c r="B1420" t="str">
        <f>HYPERLINK("ぎ/ぎゃく　瘧疾　1813　名家灸選三編　平井庸信_ページ_1.jpg")</f>
        <v>ぎ/ぎゃく　瘧疾　1813　名家灸選三編　平井庸信_ページ_1.jpg</v>
      </c>
    </row>
    <row r="1421" spans="1:2" x14ac:dyDescent="0.15">
      <c r="A1421" t="s">
        <v>1401</v>
      </c>
      <c r="B1421" t="str">
        <f>HYPERLINK("ぎ/ぎゃく　瘧疾　1813　名家灸選三編　平井庸信_ページ_2.jpg")</f>
        <v>ぎ/ぎゃく　瘧疾　1813　名家灸選三編　平井庸信_ページ_2.jpg</v>
      </c>
    </row>
    <row r="1422" spans="1:2" x14ac:dyDescent="0.15">
      <c r="A1422" t="s">
        <v>1402</v>
      </c>
      <c r="B1422" t="str">
        <f>HYPERLINK("ぎ/ぎゃく　瘧疾　1813　名家灸選三編　平井庸信_ページ_3.jpg")</f>
        <v>ぎ/ぎゃく　瘧疾　1813　名家灸選三編　平井庸信_ページ_3.jpg</v>
      </c>
    </row>
    <row r="1423" spans="1:2" x14ac:dyDescent="0.15">
      <c r="A1423" t="s">
        <v>1403</v>
      </c>
      <c r="B1423" t="str">
        <f>HYPERLINK("ぎ/ぎゃく　瘧疾　おこり　1686　鍼灸要法指南　岩田利斎_ページ_1.jpg")</f>
        <v>ぎ/ぎゃく　瘧疾　おこり　1686　鍼灸要法指南　岩田利斎_ページ_1.jpg</v>
      </c>
    </row>
    <row r="1424" spans="1:2" x14ac:dyDescent="0.15">
      <c r="A1424" t="s">
        <v>1404</v>
      </c>
      <c r="B1424" t="str">
        <f>HYPERLINK("ぎ/ぎゃく　瘧疾　おこり　1686　鍼灸要法指南　岩田利斎_ページ_2.jpg")</f>
        <v>ぎ/ぎゃく　瘧疾　おこり　1686　鍼灸要法指南　岩田利斎_ページ_2.jpg</v>
      </c>
    </row>
    <row r="1425" spans="1:2" x14ac:dyDescent="0.15">
      <c r="A1425" t="s">
        <v>1405</v>
      </c>
      <c r="B1425" t="str">
        <f>HYPERLINK("ぎ/ぎゃく　瘧疾　おこり　黄疽(おうだん)　1718　鍼灸重宝記　本郷正豊.jpg")</f>
        <v>ぎ/ぎゃく　瘧疾　おこり　黄疽(おうだん)　1718　鍼灸重宝記　本郷正豊.jpg</v>
      </c>
    </row>
    <row r="1426" spans="1:2" x14ac:dyDescent="0.15">
      <c r="A1426" t="s">
        <v>1406</v>
      </c>
      <c r="B1426" t="str">
        <f>HYPERLINK("ぎ/ぎゃく　瘧疾　ぎゃく、おこり旧（ふるく）わらわやみと云う　1780　鍼灸極秘伝　木村太沖.jpg")</f>
        <v>ぎ/ぎゃく　瘧疾　ぎゃく、おこり旧（ふるく）わらわやみと云う　1780　鍼灸極秘伝　木村太沖.jpg</v>
      </c>
    </row>
    <row r="1427" spans="1:2" x14ac:dyDescent="0.15">
      <c r="A1427" t="s">
        <v>1407</v>
      </c>
      <c r="B1427" t="str">
        <f>HYPERLINK("ぎ/ぎゃく　瘧疾　成書年未詳　灸穴集　著者未詳_ページ_1.jpg")</f>
        <v>ぎ/ぎゃく　瘧疾　成書年未詳　灸穴集　著者未詳_ページ_1.jpg</v>
      </c>
    </row>
    <row r="1428" spans="1:2" x14ac:dyDescent="0.15">
      <c r="A1428" t="s">
        <v>1408</v>
      </c>
      <c r="B1428" t="str">
        <f>HYPERLINK("ぎ/ぎゃく　瘧疾　成書年未詳　灸穴集　著者未詳_ページ_2.jpg")</f>
        <v>ぎ/ぎゃく　瘧疾　成書年未詳　灸穴集　著者未詳_ページ_2.jpg</v>
      </c>
    </row>
    <row r="1429" spans="1:2" x14ac:dyDescent="0.15">
      <c r="A1429" t="s">
        <v>1409</v>
      </c>
      <c r="B1429" t="str">
        <f>HYPERLINK("ぎ/ぎゃく　瘧疾　成書年未詳　灸穴集　著者未詳_ページ_3.jpg")</f>
        <v>ぎ/ぎゃく　瘧疾　成書年未詳　灸穴集　著者未詳_ページ_3.jpg</v>
      </c>
    </row>
    <row r="1430" spans="1:2" x14ac:dyDescent="0.15">
      <c r="A1430" t="s">
        <v>1410</v>
      </c>
      <c r="B1430" t="str">
        <f>HYPERLINK("ぎ/ぎゃく　瘧疾　成書年未詳　灸穴集　著者未詳_ページ_4.jpg")</f>
        <v>ぎ/ぎゃく　瘧疾　成書年未詳　灸穴集　著者未詳_ページ_4.jpg</v>
      </c>
    </row>
    <row r="1431" spans="1:2" x14ac:dyDescent="0.15">
      <c r="A1431" t="s">
        <v>1411</v>
      </c>
      <c r="B1431" t="str">
        <f>HYPERLINK("ぎ/ぎゃく　瘧疾　成書年未詳　経穴図解　著者未詳.jpg")</f>
        <v>ぎ/ぎゃく　瘧疾　成書年未詳　経穴図解　著者未詳.jpg</v>
      </c>
    </row>
    <row r="1432" spans="1:2" x14ac:dyDescent="0.15">
      <c r="A1432" t="s">
        <v>1412</v>
      </c>
      <c r="B1432" t="str">
        <f>HYPERLINK("ぎ/ぎゃく　瘧疾奇兪　1758　灸ぜつ塩土伝　三宅意安_ページ_1.jpg")</f>
        <v>ぎ/ぎゃく　瘧疾奇兪　1758　灸ぜつ塩土伝　三宅意安_ページ_1.jpg</v>
      </c>
    </row>
    <row r="1433" spans="1:2" x14ac:dyDescent="0.15">
      <c r="A1433" t="s">
        <v>1413</v>
      </c>
      <c r="B1433" t="str">
        <f>HYPERLINK("ぎ/ぎゃく　瘧疾奇兪　1758　灸ぜつ塩土伝　三宅意安_ページ_2.jpg")</f>
        <v>ぎ/ぎゃく　瘧疾奇兪　1758　灸ぜつ塩土伝　三宅意安_ページ_2.jpg</v>
      </c>
    </row>
    <row r="1434" spans="1:2" x14ac:dyDescent="0.15">
      <c r="A1434" t="s">
        <v>1414</v>
      </c>
      <c r="B1434" t="str">
        <f>HYPERLINK("ぎ/ぎゃく　瘧疾（きやくしつ）　をこり　間歇熱　1887（明治20）　鍼灸備要　青山道醇_ページ_1.jpg")</f>
        <v>ぎ/ぎゃく　瘧疾（きやくしつ）　をこり　間歇熱　1887（明治20）　鍼灸備要　青山道醇_ページ_1.jpg</v>
      </c>
    </row>
    <row r="1435" spans="1:2" x14ac:dyDescent="0.15">
      <c r="A1435" t="s">
        <v>1415</v>
      </c>
      <c r="B1435" t="str">
        <f>HYPERLINK("ぎ/ぎゃく　瘧疾（きやくしつ）　をこり　間歇熱　1887（明治20）　鍼灸備要　青山道醇_ページ_2.jpg")</f>
        <v>ぎ/ぎゃく　瘧疾（きやくしつ）　をこり　間歇熱　1887（明治20）　鍼灸備要　青山道醇_ページ_2.jpg</v>
      </c>
    </row>
    <row r="1436" spans="1:2" x14ac:dyDescent="0.15">
      <c r="A1436" t="s">
        <v>1416</v>
      </c>
      <c r="B1436" t="str">
        <f>HYPERLINK("ぎ/ぎゃく　瘧病　1773　鍼灸手引草　大簡室主人_ページ_1.jpg")</f>
        <v>ぎ/ぎゃく　瘧病　1773　鍼灸手引草　大簡室主人_ページ_1.jpg</v>
      </c>
    </row>
    <row r="1437" spans="1:2" x14ac:dyDescent="0.15">
      <c r="A1437" t="s">
        <v>1417</v>
      </c>
      <c r="B1437" t="str">
        <f>HYPERLINK("ぎ/ぎゃく　瘧病　1773　鍼灸手引草　大簡室主人_ページ_2.jpg")</f>
        <v>ぎ/ぎゃく　瘧病　1773　鍼灸手引草　大簡室主人_ページ_2.jpg</v>
      </c>
    </row>
    <row r="1438" spans="1:2" x14ac:dyDescent="0.15">
      <c r="A1438" t="s">
        <v>1418</v>
      </c>
      <c r="B1438" t="str">
        <f>HYPERLINK("ぎ/ぎゃく　瘧病　1773　鍼灸手引草　大簡室主人_ページ_3.jpg")</f>
        <v>ぎ/ぎゃく　瘧病　1773　鍼灸手引草　大簡室主人_ページ_3.jpg</v>
      </c>
    </row>
    <row r="1439" spans="1:2" x14ac:dyDescent="0.15">
      <c r="A1439" t="s">
        <v>1419</v>
      </c>
      <c r="B1439" t="str">
        <f>HYPERLINK("ぎ/ぎゃく　瘧病　1773　鍼灸手引草　大簡室主人_ページ_4.jpg")</f>
        <v>ぎ/ぎゃく　瘧病　1773　鍼灸手引草　大簡室主人_ページ_4.jpg</v>
      </c>
    </row>
    <row r="1440" spans="1:2" x14ac:dyDescent="0.15">
      <c r="A1440" t="s">
        <v>1420</v>
      </c>
      <c r="B1440" t="str">
        <f>HYPERLINK("ぎ/ぎゃく　瘧観之大事　1685　鍼道秘訣集　御園夢分斎_ページ_1.jpg")</f>
        <v>ぎ/ぎゃく　瘧観之大事　1685　鍼道秘訣集　御園夢分斎_ページ_1.jpg</v>
      </c>
    </row>
    <row r="1441" spans="1:2" x14ac:dyDescent="0.15">
      <c r="A1441" t="s">
        <v>1421</v>
      </c>
      <c r="B1441" t="str">
        <f>HYPERLINK("ぎ/ぎゃく　瘧観之大事　1685　鍼道秘訣集　御園夢分斎_ページ_2.jpg")</f>
        <v>ぎ/ぎゃく　瘧観之大事　1685　鍼道秘訣集　御園夢分斎_ページ_2.jpg</v>
      </c>
    </row>
    <row r="1442" spans="1:2" x14ac:dyDescent="0.15">
      <c r="A1442" t="s">
        <v>1422</v>
      </c>
      <c r="B1442" t="str">
        <f>HYPERLINK("ぎ/ぎゃく　諸瘧之治穴　1613　古今集鍼法　長生庵了味か_ページ_1.jpg")</f>
        <v>ぎ/ぎゃく　諸瘧之治穴　1613　古今集鍼法　長生庵了味か_ページ_1.jpg</v>
      </c>
    </row>
    <row r="1443" spans="1:2" x14ac:dyDescent="0.15">
      <c r="A1443" t="s">
        <v>1423</v>
      </c>
      <c r="B1443" t="str">
        <f>HYPERLINK("ぎ/ぎゃく　諸瘧之治穴　1613　古今集鍼法　長生庵了味か_ページ_2.jpg")</f>
        <v>ぎ/ぎゃく　諸瘧之治穴　1613　古今集鍼法　長生庵了味か_ページ_2.jpg</v>
      </c>
    </row>
    <row r="1444" spans="1:2" x14ac:dyDescent="0.15">
      <c r="A1444" t="s">
        <v>1424</v>
      </c>
      <c r="B1444" t="str">
        <f>HYPERLINK("ぎ/ぎゃく　諸瘧之治穴　1613　古今集鍼法　長生庵了味か_ページ_3.jpg")</f>
        <v>ぎ/ぎゃく　諸瘧之治穴　1613　古今集鍼法　長生庵了味か_ページ_3.jpg</v>
      </c>
    </row>
    <row r="1445" spans="1:2" x14ac:dyDescent="0.15">
      <c r="A1445" t="s">
        <v>1425</v>
      </c>
      <c r="B1445" t="str">
        <f>HYPERLINK("ぎ/ぎゃく　逆産　1767　鍼灸則　菅沼周桂_ページ_1.jpg")</f>
        <v>ぎ/ぎゃく　逆産　1767　鍼灸則　菅沼周桂_ページ_1.jpg</v>
      </c>
    </row>
    <row r="1446" spans="1:2" x14ac:dyDescent="0.15">
      <c r="A1446" t="s">
        <v>1426</v>
      </c>
      <c r="B1446" t="str">
        <f>HYPERLINK("ぎ/ぎゃく　逆産　1767　鍼灸則　菅沼周桂_ページ_2.jpg")</f>
        <v>ぎ/ぎゃく　逆産　1767　鍼灸則　菅沼周桂_ページ_2.jpg</v>
      </c>
    </row>
    <row r="1447" spans="1:2" x14ac:dyDescent="0.15">
      <c r="A1447" t="s">
        <v>1427</v>
      </c>
      <c r="B1447" t="str">
        <f>HYPERLINK("ぎ/ぎゃく　逆睫　1758　灸ぜつ塩土伝　三宅意安_ページ_1.jpg")</f>
        <v>ぎ/ぎゃく　逆睫　1758　灸ぜつ塩土伝　三宅意安_ページ_1.jpg</v>
      </c>
    </row>
    <row r="1448" spans="1:2" x14ac:dyDescent="0.15">
      <c r="A1448" t="s">
        <v>1428</v>
      </c>
      <c r="B1448" t="str">
        <f>HYPERLINK("ぎ/ぎゃく　逆睫　1758　灸ぜつ塩土伝　三宅意安_ページ_2.jpg")</f>
        <v>ぎ/ぎゃく　逆睫　1758　灸ぜつ塩土伝　三宅意安_ページ_2.jpg</v>
      </c>
    </row>
    <row r="1449" spans="1:2" x14ac:dyDescent="0.15">
      <c r="A1449" t="s">
        <v>1429</v>
      </c>
      <c r="B1449" t="str">
        <f>HYPERLINK("ぎ/ぎょう　繞踝風　1315　鍼経摘英集　元・杜思敬「済生抜粋方」_ページ_1.jpg")</f>
        <v>ぎ/ぎょう　繞踝風　1315　鍼経摘英集　元・杜思敬「済生抜粋方」_ページ_1.jpg</v>
      </c>
    </row>
    <row r="1450" spans="1:2" x14ac:dyDescent="0.15">
      <c r="A1450" t="s">
        <v>1430</v>
      </c>
      <c r="B1450" t="str">
        <f>HYPERLINK("ぎ/ぎょう　繞踝風　1315　鍼経摘英集　元・杜思敬「済生抜粋方」_ページ_2.jpg")</f>
        <v>ぎ/ぎょう　繞踝風　1315　鍼経摘英集　元・杜思敬「済生抜粋方」_ページ_2.jpg</v>
      </c>
    </row>
    <row r="1451" spans="1:2" x14ac:dyDescent="0.15">
      <c r="A1451" t="s">
        <v>1431</v>
      </c>
      <c r="B1451" t="str">
        <f>HYPERLINK("ぎ/ぎょう　行遅（ぎょうち＝ありくとこおそし）　并　髪遅（かみおそし）　1686　鍼灸要法指南　岩田利斎_ページ_1.jpg")</f>
        <v>ぎ/ぎょう　行遅（ぎょうち＝ありくとこおそし）　并　髪遅（かみおそし）　1686　鍼灸要法指南　岩田利斎_ページ_1.jpg</v>
      </c>
    </row>
    <row r="1452" spans="1:2" x14ac:dyDescent="0.15">
      <c r="A1452" t="s">
        <v>1432</v>
      </c>
      <c r="B1452" t="str">
        <f>HYPERLINK("ぎ/ぎょう　行遅（ぎょうち＝ありくとこおそし）　并　髪遅（かみおそし）　1686　鍼灸要法指南　岩田利斎_ページ_2.jpg")</f>
        <v>ぎ/ぎょう　行遅（ぎょうち＝ありくとこおそし）　并　髪遅（かみおそし）　1686　鍼灸要法指南　岩田利斎_ページ_2.jpg</v>
      </c>
    </row>
    <row r="1453" spans="1:2" x14ac:dyDescent="0.15">
      <c r="A1453" t="s">
        <v>1433</v>
      </c>
      <c r="B1453" t="str">
        <f>HYPERLINK("く/くい　食違　1607　扁鵲新流鍼書　越齋寿閑.jpg")</f>
        <v>く/くい　食違　1607　扁鵲新流鍼書　越齋寿閑.jpg</v>
      </c>
    </row>
    <row r="1454" spans="1:2" x14ac:dyDescent="0.15">
      <c r="A1454" t="s">
        <v>1434</v>
      </c>
      <c r="B1454" t="str">
        <f>HYPERLINK("く/くび　縊　くびくくる　1765　鍼法弁惑　藤井秀孟_ページ_1.jpg")</f>
        <v>く/くび　縊　くびくくる　1765　鍼法弁惑　藤井秀孟_ページ_1.jpg</v>
      </c>
    </row>
    <row r="1455" spans="1:2" x14ac:dyDescent="0.15">
      <c r="A1455" t="s">
        <v>1435</v>
      </c>
      <c r="B1455" t="str">
        <f>HYPERLINK("く/くび　縊　くびくくる　1765　鍼法弁惑　藤井秀孟_ページ_2.jpg")</f>
        <v>く/くび　縊　くびくくる　1765　鍼法弁惑　藤井秀孟_ページ_2.jpg</v>
      </c>
    </row>
    <row r="1456" spans="1:2" x14ac:dyDescent="0.15">
      <c r="A1456" t="s">
        <v>1436</v>
      </c>
      <c r="B1456" t="str">
        <f>HYPERLINK("く/くび　縊　くびくくる　1765　鍼法弁惑　藤井秀孟_ページ_3.jpg")</f>
        <v>く/くび　縊　くびくくる　1765　鍼法弁惑　藤井秀孟_ページ_3.jpg</v>
      </c>
    </row>
    <row r="1457" spans="1:2" x14ac:dyDescent="0.15">
      <c r="A1457" t="s">
        <v>1437</v>
      </c>
      <c r="B1457" t="str">
        <f>HYPERLINK("く/くび　縊死する者　くびをくくりて死する人　1780　鍼灸極秘伝　木村太沖.jpg")</f>
        <v>く/くび　縊死する者　くびをくくりて死する人　1780　鍼灸極秘伝　木村太沖.jpg</v>
      </c>
    </row>
    <row r="1458" spans="1:2" x14ac:dyDescent="0.15">
      <c r="A1458" t="s">
        <v>1438</v>
      </c>
      <c r="B1458" t="str">
        <f>HYPERLINK("く/くび　自縊　1226　備急灸法　宋・聞人耆年_ページ_1.jpg")</f>
        <v>く/くび　自縊　1226　備急灸法　宋・聞人耆年_ページ_1.jpg</v>
      </c>
    </row>
    <row r="1459" spans="1:2" x14ac:dyDescent="0.15">
      <c r="A1459" t="s">
        <v>1439</v>
      </c>
      <c r="B1459" t="str">
        <f>HYPERLINK("く/くび　自縊　1226　備急灸法　宋・聞人耆年_ページ_2.jpg")</f>
        <v>く/くび　自縊　1226　備急灸法　宋・聞人耆年_ページ_2.jpg</v>
      </c>
    </row>
    <row r="1460" spans="1:2" x14ac:dyDescent="0.15">
      <c r="A1460" t="s">
        <v>1440</v>
      </c>
      <c r="B1460" t="str">
        <f>HYPERLINK("く/くび　自縊　1563　鍼灸集要　曲直瀬道三.jpg")</f>
        <v>く/くび　自縊　1563　鍼灸集要　曲直瀬道三.jpg</v>
      </c>
    </row>
    <row r="1461" spans="1:2" x14ac:dyDescent="0.15">
      <c r="A1461" t="s">
        <v>1441</v>
      </c>
      <c r="B1461" t="str">
        <f>HYPERLINK("く/くび　首縊　くびくくる　1686　鍼灸要法指南　岩田利斎.jpg")</f>
        <v>く/くび　首縊　くびくくる　1686　鍼灸要法指南　岩田利斎.jpg</v>
      </c>
    </row>
    <row r="1462" spans="1:2" x14ac:dyDescent="0.15">
      <c r="A1462" t="s">
        <v>1442</v>
      </c>
      <c r="B1462" t="str">
        <f>HYPERLINK("け/けい　けいしょう　1669　鍼灸枢要　山本玄通_ページ_1.jpg")</f>
        <v>け/けい　けいしょう　1669　鍼灸枢要　山本玄通_ページ_1.jpg</v>
      </c>
    </row>
    <row r="1463" spans="1:2" x14ac:dyDescent="0.15">
      <c r="A1463" t="s">
        <v>1443</v>
      </c>
      <c r="B1463" t="str">
        <f>HYPERLINK("け/けい　けいしょう　1669　鍼灸枢要　山本玄通_ページ_2.jpg")</f>
        <v>け/けい　けいしょう　1669　鍼灸枢要　山本玄通_ページ_2.jpg</v>
      </c>
    </row>
    <row r="1464" spans="1:2" x14ac:dyDescent="0.15">
      <c r="A1464" t="s">
        <v>1444</v>
      </c>
      <c r="B1464" t="str">
        <f>HYPERLINK("け/けい　けいしょう　1800　鍼灸備要　小坂元祐.jpg")</f>
        <v>け/けい　けいしょう　1800　鍼灸備要　小坂元祐.jpg</v>
      </c>
    </row>
    <row r="1465" spans="1:2" x14ac:dyDescent="0.15">
      <c r="A1465" t="s">
        <v>1445</v>
      </c>
      <c r="B1465" t="str">
        <f>HYPERLINK("け/けい　痙病（けいびやう）　そりのやまい　強直痙攣　1887（明治20）　鍼灸備要　青山道醇.jpg")</f>
        <v>け/けい　痙病（けいびやう）　そりのやまい　強直痙攣　1887（明治20）　鍼灸備要　青山道醇.jpg</v>
      </c>
    </row>
    <row r="1466" spans="1:2" x14ac:dyDescent="0.15">
      <c r="A1466" t="s">
        <v>1446</v>
      </c>
      <c r="B1466" t="str">
        <f>HYPERLINK("け/けい　経水不調　成書年未詳　灸穴集　著者未詳_ページ_1.jpg")</f>
        <v>け/けい　経水不調　成書年未詳　灸穴集　著者未詳_ページ_1.jpg</v>
      </c>
    </row>
    <row r="1467" spans="1:2" x14ac:dyDescent="0.15">
      <c r="A1467" t="s">
        <v>1447</v>
      </c>
      <c r="B1467" t="str">
        <f>HYPERLINK("け/けい　経水不調　成書年未詳　灸穴集　著者未詳_ページ_2.jpg")</f>
        <v>け/けい　経水不調　成書年未詳　灸穴集　著者未詳_ページ_2.jpg</v>
      </c>
    </row>
    <row r="1468" spans="1:2" x14ac:dyDescent="0.15">
      <c r="A1468" t="s">
        <v>1448</v>
      </c>
      <c r="B1468" t="str">
        <f>HYPERLINK("け/けい　経脈不調　1686　鍼灸要法指南　岩田利斎_ページ_1.jpg")</f>
        <v>け/けい　経脈不調　1686　鍼灸要法指南　岩田利斎_ページ_1.jpg</v>
      </c>
    </row>
    <row r="1469" spans="1:2" x14ac:dyDescent="0.15">
      <c r="A1469" t="s">
        <v>1449</v>
      </c>
      <c r="B1469" t="str">
        <f>HYPERLINK("け/けい　経脈不調　1686　鍼灸要法指南　岩田利斎_ページ_2.jpg")</f>
        <v>け/けい　経脈不調　1686　鍼灸要法指南　岩田利斎_ページ_2.jpg</v>
      </c>
    </row>
    <row r="1470" spans="1:2" x14ac:dyDescent="0.15">
      <c r="A1470" t="s">
        <v>1450</v>
      </c>
      <c r="B1470" t="str">
        <f>HYPERLINK("け/けい　経脈不調　1693　鍼灸要歌集　安井昌玄_ページ_1.jpg")</f>
        <v>け/けい　経脈不調　1693　鍼灸要歌集　安井昌玄_ページ_1.jpg</v>
      </c>
    </row>
    <row r="1471" spans="1:2" x14ac:dyDescent="0.15">
      <c r="A1471" t="s">
        <v>1451</v>
      </c>
      <c r="B1471" t="str">
        <f>HYPERLINK("け/けい　経脈不調　1693　鍼灸要歌集　安井昌玄_ページ_2.jpg")</f>
        <v>け/けい　経脈不調　1693　鍼灸要歌集　安井昌玄_ページ_2.jpg</v>
      </c>
    </row>
    <row r="1472" spans="1:2" x14ac:dyDescent="0.15">
      <c r="A1472" t="s">
        <v>1452</v>
      </c>
      <c r="B1472" t="str">
        <f>HYPERLINK("け/けい　経脈不調　1693　鍼灸要歌集　安井昌玄_ページ_3.jpg")</f>
        <v>け/けい　経脈不調　1693　鍼灸要歌集　安井昌玄_ページ_3.jpg</v>
      </c>
    </row>
    <row r="1473" spans="1:2" x14ac:dyDescent="0.15">
      <c r="A1473" t="s">
        <v>1453</v>
      </c>
      <c r="B1473" t="str">
        <f>HYPERLINK("け/けい　経脈経閉　1792　鍼法要集　源長起_ページ_1.jpg")</f>
        <v>け/けい　経脈経閉　1792　鍼法要集　源長起_ページ_1.jpg</v>
      </c>
    </row>
    <row r="1474" spans="1:2" x14ac:dyDescent="0.15">
      <c r="A1474" t="s">
        <v>1454</v>
      </c>
      <c r="B1474" t="str">
        <f>HYPERLINK("け/けい　経脈経閉　1792　鍼法要集　源長起_ページ_2.jpg")</f>
        <v>け/けい　経脈経閉　1792　鍼法要集　源長起_ページ_2.jpg</v>
      </c>
    </row>
    <row r="1475" spans="1:2" x14ac:dyDescent="0.15">
      <c r="A1475" t="s">
        <v>1455</v>
      </c>
      <c r="B1475" t="str">
        <f>HYPERLINK("け/けい　経脈経閉　1792　鍼法要集　源長起_ページ_3.jpg")</f>
        <v>け/けい　経脈経閉　1792　鍼法要集　源長起_ページ_3.jpg</v>
      </c>
    </row>
    <row r="1476" spans="1:2" x14ac:dyDescent="0.15">
      <c r="A1476" t="s">
        <v>1456</v>
      </c>
      <c r="B1476" t="str">
        <f>HYPERLINK("け/けい　経行不調及帯下病　1813　名家灸選三編　平井庸信_ページ_1.jpg")</f>
        <v>け/けい　経行不調及帯下病　1813　名家灸選三編　平井庸信_ページ_1.jpg</v>
      </c>
    </row>
    <row r="1477" spans="1:2" x14ac:dyDescent="0.15">
      <c r="A1477" t="s">
        <v>1457</v>
      </c>
      <c r="B1477" t="str">
        <f>HYPERLINK("け/けい　経行不調及帯下病　1813　名家灸選三編　平井庸信_ページ_2.jpg")</f>
        <v>け/けい　経行不調及帯下病　1813　名家灸選三編　平井庸信_ページ_2.jpg</v>
      </c>
    </row>
    <row r="1478" spans="1:2" x14ac:dyDescent="0.15">
      <c r="A1478" t="s">
        <v>1458</v>
      </c>
      <c r="B1478" t="str">
        <f>HYPERLINK("け/けい　経閉　血塊　1807　続名家灸選　平井庸信_ページ_1.jpg")</f>
        <v>け/けい　経閉　血塊　1807　続名家灸選　平井庸信_ページ_1.jpg</v>
      </c>
    </row>
    <row r="1479" spans="1:2" x14ac:dyDescent="0.15">
      <c r="A1479" t="s">
        <v>1459</v>
      </c>
      <c r="B1479" t="str">
        <f>HYPERLINK("け/けい　経閉　血塊　1807　続名家灸選　平井庸信_ページ_2.jpg")</f>
        <v>け/けい　経閉　血塊　1807　続名家灸選　平井庸信_ページ_2.jpg</v>
      </c>
    </row>
    <row r="1480" spans="1:2" x14ac:dyDescent="0.15">
      <c r="A1480" t="s">
        <v>1460</v>
      </c>
      <c r="B1480" t="str">
        <f>HYPERLINK("け/けい　経閉じ塊を作（な）す者　月やくとどこおりてかたまりになる人　1780　鍼灸極秘伝　木村太沖.jpg")</f>
        <v>け/けい　経閉じ塊を作（な）す者　月やくとどこおりてかたまりになる人　1780　鍼灸極秘伝　木村太沖.jpg</v>
      </c>
    </row>
    <row r="1481" spans="1:2" x14ac:dyDescent="0.15">
      <c r="A1481" t="s">
        <v>1461</v>
      </c>
      <c r="B1481" t="str">
        <f>HYPERLINK("け/けい　茎中痛　1624　類経図翼　明・張介賓.jpg")</f>
        <v>け/けい　茎中痛　1624　類経図翼　明・張介賓.jpg</v>
      </c>
    </row>
    <row r="1482" spans="1:2" x14ac:dyDescent="0.15">
      <c r="A1482" t="s">
        <v>1462</v>
      </c>
      <c r="B1482" t="str">
        <f>HYPERLINK("け/けい　頚項強急　1912年（大正01）　鍼灸手引草　久木田七郎_ページ_1.jpg")</f>
        <v>け/けい　頚項強急　1912年（大正01）　鍼灸手引草　久木田七郎_ページ_1.jpg</v>
      </c>
    </row>
    <row r="1483" spans="1:2" x14ac:dyDescent="0.15">
      <c r="A1483" t="s">
        <v>1463</v>
      </c>
      <c r="B1483" t="str">
        <f>HYPERLINK("け/けい　頚項強急　1912年（大正01）　鍼灸手引草　久木田七郎_ページ_2.jpg")</f>
        <v>け/けい　頚項強急　1912年（大正01）　鍼灸手引草　久木田七郎_ページ_2.jpg</v>
      </c>
    </row>
    <row r="1484" spans="1:2" x14ac:dyDescent="0.15">
      <c r="A1484" t="s">
        <v>1464</v>
      </c>
      <c r="B1484" t="str">
        <f>HYPERLINK("け/けい　頚項強（急腫）　1220　鍼灸資生経　王執中_ページ_1.jpg")</f>
        <v>け/けい　頚項強（急腫）　1220　鍼灸資生経　王執中_ページ_1.jpg</v>
      </c>
    </row>
    <row r="1485" spans="1:2" x14ac:dyDescent="0.15">
      <c r="A1485" t="s">
        <v>1465</v>
      </c>
      <c r="B1485" t="str">
        <f>HYPERLINK("け/けい　頚項強（急腫）　1220　鍼灸資生経　王執中_ページ_2.jpg")</f>
        <v>け/けい　頚項強（急腫）　1220　鍼灸資生経　王執中_ページ_2.jpg</v>
      </c>
    </row>
    <row r="1486" spans="1:2" x14ac:dyDescent="0.15">
      <c r="A1486" t="s">
        <v>1466</v>
      </c>
      <c r="B1486" t="str">
        <f>HYPERLINK("け/けい　頚項攣痛　くびすじひきつりいたみ　1780　鍼灸極秘伝　木村太沖.jpg")</f>
        <v>け/けい　頚項攣痛　くびすじひきつりいたみ　1780　鍼灸極秘伝　木村太沖.jpg</v>
      </c>
    </row>
    <row r="1487" spans="1:2" x14ac:dyDescent="0.15">
      <c r="A1487" t="s">
        <v>1467</v>
      </c>
      <c r="B1487" t="str">
        <f>HYPERLINK("け/けい　頚項痛　1794　杉山流鍼術　島浦和田一.jpg")</f>
        <v>け/けい　頚項痛　1794　杉山流鍼術　島浦和田一.jpg</v>
      </c>
    </row>
    <row r="1488" spans="1:2" x14ac:dyDescent="0.15">
      <c r="A1488" t="s">
        <v>1468</v>
      </c>
      <c r="B1488" t="str">
        <f>HYPERLINK("け/けい　頸項頬頷腫頭面虚腫　1299　続添要穴集　惟宗時俊.jpg")</f>
        <v>け/けい　頸項頬頷腫頭面虚腫　1299　続添要穴集　惟宗時俊.jpg</v>
      </c>
    </row>
    <row r="1489" spans="1:2" x14ac:dyDescent="0.15">
      <c r="A1489" t="s">
        <v>1469</v>
      </c>
      <c r="B1489" t="str">
        <f>HYPERLINK("け/けつ　●欠えつ唏振寒噫嚔たん泣出太息羨下耳鳴噛舌善忘善飢　第一　0300　鍼灸甲乙経　皇甫謐_ページ_1.jpg")</f>
        <v>け/けつ　●欠えつ唏振寒噫嚔たん泣出太息羨下耳鳴噛舌善忘善飢　第一　0300　鍼灸甲乙経　皇甫謐_ページ_1.jpg</v>
      </c>
    </row>
    <row r="1490" spans="1:2" x14ac:dyDescent="0.15">
      <c r="A1490" t="s">
        <v>1470</v>
      </c>
      <c r="B1490" t="str">
        <f>HYPERLINK("け/けつ　●欠えつ唏振寒噫嚔たん泣出太息羨下耳鳴噛舌善忘善飢　第一　0300　鍼灸甲乙経　皇甫謐_ページ_2.jpg")</f>
        <v>け/けつ　●欠えつ唏振寒噫嚔たん泣出太息羨下耳鳴噛舌善忘善飢　第一　0300　鍼灸甲乙経　皇甫謐_ページ_2.jpg</v>
      </c>
    </row>
    <row r="1491" spans="1:2" x14ac:dyDescent="0.15">
      <c r="A1491" t="s">
        <v>1471</v>
      </c>
      <c r="B1491" t="str">
        <f>HYPERLINK("け/けつ　●欠えつ唏振寒噫嚔たん泣出太息羨下耳鳴噛舌善忘善飢　第一　0300　鍼灸甲乙経　皇甫謐_ページ_3.jpg")</f>
        <v>け/けつ　●欠えつ唏振寒噫嚔たん泣出太息羨下耳鳴噛舌善忘善飢　第一　0300　鍼灸甲乙経　皇甫謐_ページ_3.jpg</v>
      </c>
    </row>
    <row r="1492" spans="1:2" x14ac:dyDescent="0.15">
      <c r="A1492" t="s">
        <v>1472</v>
      </c>
      <c r="B1492" t="str">
        <f>HYPERLINK("け/けつ　●欠えつ唏振寒噫嚔たん泣出太息羨下耳鳴噛舌善忘善飢　第一　0300　鍼灸甲乙経　皇甫謐_ページ_4.jpg")</f>
        <v>け/けつ　●欠えつ唏振寒噫嚔たん泣出太息羨下耳鳴噛舌善忘善飢　第一　0300　鍼灸甲乙経　皇甫謐_ページ_4.jpg</v>
      </c>
    </row>
    <row r="1493" spans="1:2" x14ac:dyDescent="0.15">
      <c r="A1493" t="s">
        <v>1473</v>
      </c>
      <c r="B1493" t="str">
        <f>HYPERLINK("け/けつ　厥逆　1624　類経図翼　明・張介賓_ページ_1.jpg")</f>
        <v>け/けつ　厥逆　1624　類経図翼　明・張介賓_ページ_1.jpg</v>
      </c>
    </row>
    <row r="1494" spans="1:2" x14ac:dyDescent="0.15">
      <c r="A1494" t="s">
        <v>1474</v>
      </c>
      <c r="B1494" t="str">
        <f>HYPERLINK("け/けつ　厥逆　1624　類経図翼　明・張介賓_ページ_2.jpg")</f>
        <v>け/けつ　厥逆　1624　類経図翼　明・張介賓_ページ_2.jpg</v>
      </c>
    </row>
    <row r="1495" spans="1:2" x14ac:dyDescent="0.15">
      <c r="A1495" t="s">
        <v>1475</v>
      </c>
      <c r="B1495" t="str">
        <f>HYPERLINK("け/けつ　厥逆　1669　鍼灸枢要　山本玄通_ページ_1.jpg")</f>
        <v>け/けつ　厥逆　1669　鍼灸枢要　山本玄通_ページ_1.jpg</v>
      </c>
    </row>
    <row r="1496" spans="1:2" x14ac:dyDescent="0.15">
      <c r="A1496" t="s">
        <v>1476</v>
      </c>
      <c r="B1496" t="str">
        <f>HYPERLINK("け/けつ　厥逆　1669　鍼灸枢要　山本玄通_ページ_2.jpg")</f>
        <v>け/けつ　厥逆　1669　鍼灸枢要　山本玄通_ページ_2.jpg</v>
      </c>
    </row>
    <row r="1497" spans="1:2" x14ac:dyDescent="0.15">
      <c r="A1497" t="s">
        <v>1477</v>
      </c>
      <c r="B1497" t="str">
        <f>HYPERLINK("け/けつ　厥逆　1669　鍼灸枢要　山本玄通_ページ_3.jpg")</f>
        <v>け/けつ　厥逆　1669　鍼灸枢要　山本玄通_ページ_3.jpg</v>
      </c>
    </row>
    <row r="1498" spans="1:2" x14ac:dyDescent="0.15">
      <c r="A1498" t="s">
        <v>1478</v>
      </c>
      <c r="B1498" t="str">
        <f>HYPERLINK("け/けつ　厥逆　1669　鍼灸枢要　山本玄通_ページ_4.jpg")</f>
        <v>け/けつ　厥逆　1669　鍼灸枢要　山本玄通_ページ_4.jpg</v>
      </c>
    </row>
    <row r="1499" spans="1:2" x14ac:dyDescent="0.15">
      <c r="A1499" t="s">
        <v>1479</v>
      </c>
      <c r="B1499" t="str">
        <f>HYPERLINK("け/けつ　厥逆　1669　鍼灸枢要　山本玄通_ページ_5.jpg")</f>
        <v>け/けつ　厥逆　1669　鍼灸枢要　山本玄通_ページ_5.jpg</v>
      </c>
    </row>
    <row r="1500" spans="1:2" x14ac:dyDescent="0.15">
      <c r="A1500" t="s">
        <v>1480</v>
      </c>
      <c r="B1500" t="str">
        <f>HYPERLINK("け/けつ　厥逆　1669　鍼灸枢要　山本玄通_ページ_6.jpg")</f>
        <v>け/けつ　厥逆　1669　鍼灸枢要　山本玄通_ページ_6.jpg</v>
      </c>
    </row>
    <row r="1501" spans="1:2" x14ac:dyDescent="0.15">
      <c r="A1501" t="s">
        <v>1481</v>
      </c>
      <c r="B1501" t="str">
        <f>HYPERLINK("け/けつ　厥逆　1669　鍼灸枢要　山本玄通_ページ_7.jpg")</f>
        <v>け/けつ　厥逆　1669　鍼灸枢要　山本玄通_ページ_7.jpg</v>
      </c>
    </row>
    <row r="1502" spans="1:2" x14ac:dyDescent="0.15">
      <c r="A1502" t="s">
        <v>1482</v>
      </c>
      <c r="B1502" t="str">
        <f>HYPERLINK("け/けつ　厥逆　1703　鍼灸阿是要穴　岡本一抱.jpg")</f>
        <v>け/けつ　厥逆　1703　鍼灸阿是要穴　岡本一抱.jpg</v>
      </c>
    </row>
    <row r="1503" spans="1:2" x14ac:dyDescent="0.15">
      <c r="A1503" t="s">
        <v>1483</v>
      </c>
      <c r="B1503" t="str">
        <f>HYPERLINK("け/けつ　厥逆　1761　挨穴捷径　杉原敦.jpg")</f>
        <v>け/けつ　厥逆　1761　挨穴捷径　杉原敦.jpg</v>
      </c>
    </row>
    <row r="1504" spans="1:2" x14ac:dyDescent="0.15">
      <c r="A1504" t="s">
        <v>1484</v>
      </c>
      <c r="B1504" t="str">
        <f>HYPERLINK("け/けつ　厥逆　気急　眩暈　1758　灸ぜつ塩土伝　三宅意安_ページ_1.jpg")</f>
        <v>け/けつ　厥逆　気急　眩暈　1758　灸ぜつ塩土伝　三宅意安_ページ_1.jpg</v>
      </c>
    </row>
    <row r="1505" spans="1:2" x14ac:dyDescent="0.15">
      <c r="A1505" t="s">
        <v>1485</v>
      </c>
      <c r="B1505" t="str">
        <f>HYPERLINK("け/けつ　厥逆　気急　眩暈　1758　灸ぜつ塩土伝　三宅意安_ページ_2.jpg")</f>
        <v>け/けつ　厥逆　気急　眩暈　1758　灸ぜつ塩土伝　三宅意安_ページ_2.jpg</v>
      </c>
    </row>
    <row r="1506" spans="1:2" x14ac:dyDescent="0.15">
      <c r="A1506" t="s">
        <v>1486</v>
      </c>
      <c r="B1506" t="str">
        <f>HYPERLINK("け/けつ　厥逆　気急　眩暈　1758　灸ぜつ塩土伝　三宅意安_ページ_3.jpg")</f>
        <v>け/けつ　厥逆　気急　眩暈　1758　灸ぜつ塩土伝　三宅意安_ページ_3.jpg</v>
      </c>
    </row>
    <row r="1507" spans="1:2" x14ac:dyDescent="0.15">
      <c r="A1507" t="s">
        <v>1487</v>
      </c>
      <c r="B1507" t="str">
        <f>HYPERLINK("け/けつ　厥頭痛　1794　杉山流鍼術　島浦和田一_ページ_1.jpg")</f>
        <v>け/けつ　厥頭痛　1794　杉山流鍼術　島浦和田一_ページ_1.jpg</v>
      </c>
    </row>
    <row r="1508" spans="1:2" x14ac:dyDescent="0.15">
      <c r="A1508" t="s">
        <v>1488</v>
      </c>
      <c r="B1508" t="str">
        <f>HYPERLINK("け/けつ　厥頭痛　1794　杉山流鍼術　島浦和田一_ページ_2.jpg")</f>
        <v>け/けつ　厥頭痛　1794　杉山流鍼術　島浦和田一_ページ_2.jpg</v>
      </c>
    </row>
    <row r="1509" spans="1:2" x14ac:dyDescent="0.15">
      <c r="A1509" t="s">
        <v>1489</v>
      </c>
      <c r="B1509" t="str">
        <f>HYPERLINK("け/けつ　欠　1669　鍼灸枢要　山本玄通_ページ_1.jpg")</f>
        <v>け/けつ　欠　1669　鍼灸枢要　山本玄通_ページ_1.jpg</v>
      </c>
    </row>
    <row r="1510" spans="1:2" x14ac:dyDescent="0.15">
      <c r="A1510" t="s">
        <v>1490</v>
      </c>
      <c r="B1510" t="str">
        <f>HYPERLINK("け/けつ　欠　1669　鍼灸枢要　山本玄通_ページ_2.jpg")</f>
        <v>け/けつ　欠　1669　鍼灸枢要　山本玄通_ページ_2.jpg</v>
      </c>
    </row>
    <row r="1511" spans="1:2" x14ac:dyDescent="0.15">
      <c r="A1511" t="s">
        <v>1491</v>
      </c>
      <c r="B1511" t="str">
        <f>HYPERLINK("け/けつ　欠　1669　鍼灸枢要　山本玄通_ページ_3.jpg")</f>
        <v>け/けつ　欠　1669　鍼灸枢要　山本玄通_ページ_3.jpg</v>
      </c>
    </row>
    <row r="1512" spans="1:2" x14ac:dyDescent="0.15">
      <c r="A1512" t="s">
        <v>1492</v>
      </c>
      <c r="B1512" t="str">
        <f>HYPERLINK("け/けつ　欠　1800　鍼灸備要　小坂元祐.jpg")</f>
        <v>け/けつ　欠　1800　鍼灸備要　小坂元祐.jpg</v>
      </c>
    </row>
    <row r="1513" spans="1:2" x14ac:dyDescent="0.15">
      <c r="A1513" t="s">
        <v>1493</v>
      </c>
      <c r="B1513" t="str">
        <f>HYPERLINK("け/けつ　欠伸不止　1765　鍼法弁惑　藤井秀孟.jpg")</f>
        <v>け/けつ　欠伸不止　1765　鍼法弁惑　藤井秀孟.jpg</v>
      </c>
    </row>
    <row r="1514" spans="1:2" x14ac:dyDescent="0.15">
      <c r="A1514" t="s">
        <v>1494</v>
      </c>
      <c r="B1514" t="str">
        <f>HYPERLINK("け/けつ　結する針　1607　扁鵲新流鍼書　越齋寿閑_ページ_1.jpg")</f>
        <v>け/けつ　結する針　1607　扁鵲新流鍼書　越齋寿閑_ページ_1.jpg</v>
      </c>
    </row>
    <row r="1515" spans="1:2" x14ac:dyDescent="0.15">
      <c r="A1515" t="s">
        <v>1495</v>
      </c>
      <c r="B1515" t="str">
        <f>HYPERLINK("け/けつ　結する針　1607　扁鵲新流鍼書　越齋寿閑_ページ_2.jpg")</f>
        <v>け/けつ　結する針　1607　扁鵲新流鍼書　越齋寿閑_ページ_2.jpg</v>
      </c>
    </row>
    <row r="1516" spans="1:2" x14ac:dyDescent="0.15">
      <c r="A1516" t="s">
        <v>1496</v>
      </c>
      <c r="B1516" t="str">
        <f>HYPERLINK("け/けつ　結核 付 えい瘤瘰癧　1698　鍼灸抜粋大成　岡本一抱.jpg")</f>
        <v>け/けつ　結核 付 えい瘤瘰癧　1698　鍼灸抜粋大成　岡本一抱.jpg</v>
      </c>
    </row>
    <row r="1517" spans="1:2" x14ac:dyDescent="0.15">
      <c r="A1517" t="s">
        <v>1497</v>
      </c>
      <c r="B1517" t="str">
        <f>HYPERLINK("け/けつ　結核　附　時毒（えはれ）　1686　鍼灸要法指南　岩田利斎.jpg")</f>
        <v>け/けつ　結核　附　時毒（えはれ）　1686　鍼灸要法指南　岩田利斎.jpg</v>
      </c>
    </row>
    <row r="1518" spans="1:2" x14ac:dyDescent="0.15">
      <c r="A1518" t="s">
        <v>1498</v>
      </c>
      <c r="B1518" t="str">
        <f>HYPERLINK("け/けつ　結胸　1537　鍼灸聚英　明・高武_ページ_1.jpg")</f>
        <v>け/けつ　結胸　1537　鍼灸聚英　明・高武_ページ_1.jpg</v>
      </c>
    </row>
    <row r="1519" spans="1:2" x14ac:dyDescent="0.15">
      <c r="A1519" t="s">
        <v>1499</v>
      </c>
      <c r="B1519" t="str">
        <f>HYPERLINK("け/けつ　結胸　1537　鍼灸聚英　明・高武_ページ_2.jpg")</f>
        <v>け/けつ　結胸　1537　鍼灸聚英　明・高武_ページ_2.jpg</v>
      </c>
    </row>
    <row r="1520" spans="1:2" x14ac:dyDescent="0.15">
      <c r="A1520" t="s">
        <v>1500</v>
      </c>
      <c r="B1520" t="str">
        <f>HYPERLINK("け/けつ　血塊　1686　鍼灸要法指南　岩田利斎_ページ_1.jpg")</f>
        <v>け/けつ　血塊　1686　鍼灸要法指南　岩田利斎_ページ_1.jpg</v>
      </c>
    </row>
    <row r="1521" spans="1:2" x14ac:dyDescent="0.15">
      <c r="A1521" t="s">
        <v>1501</v>
      </c>
      <c r="B1521" t="str">
        <f>HYPERLINK("け/けつ　血塊　1686　鍼灸要法指南　岩田利斎_ページ_2.jpg")</f>
        <v>け/けつ　血塊　1686　鍼灸要法指南　岩田利斎_ページ_2.jpg</v>
      </c>
    </row>
    <row r="1522" spans="1:2" x14ac:dyDescent="0.15">
      <c r="A1522" t="s">
        <v>1502</v>
      </c>
      <c r="B1522" t="str">
        <f>HYPERLINK("け/けつ　血塊　1693　鍼灸要歌集　安井昌玄_ページ_1.jpg")</f>
        <v>け/けつ　血塊　1693　鍼灸要歌集　安井昌玄_ページ_1.jpg</v>
      </c>
    </row>
    <row r="1523" spans="1:2" x14ac:dyDescent="0.15">
      <c r="A1523" t="s">
        <v>1503</v>
      </c>
      <c r="B1523" t="str">
        <f>HYPERLINK("け/けつ　血塊　1693　鍼灸要歌集　安井昌玄_ページ_2.jpg")</f>
        <v>け/けつ　血塊　1693　鍼灸要歌集　安井昌玄_ページ_2.jpg</v>
      </c>
    </row>
    <row r="1524" spans="1:2" x14ac:dyDescent="0.15">
      <c r="A1524" t="s">
        <v>1504</v>
      </c>
      <c r="B1524" t="str">
        <f>HYPERLINK("け/けつ　血塊　1767　鍼灸則　菅沼周桂.jpg")</f>
        <v>け/けつ　血塊　1767　鍼灸則　菅沼周桂.jpg</v>
      </c>
    </row>
    <row r="1525" spans="1:2" x14ac:dyDescent="0.15">
      <c r="A1525" t="s">
        <v>1505</v>
      </c>
      <c r="B1525" t="str">
        <f>HYPERLINK("け/けつ　血塊　成書年未詳　灸穴集　著者未詳.jpg")</f>
        <v>け/けつ　血塊　成書年未詳　灸穴集　著者未詳.jpg</v>
      </c>
    </row>
    <row r="1526" spans="1:2" x14ac:dyDescent="0.15">
      <c r="A1526" t="s">
        <v>1506</v>
      </c>
      <c r="B1526" t="str">
        <f>HYPERLINK("け/けつ　血塊（お血）　1220　鍼灸資生経　王執中.jpg")</f>
        <v>け/けつ　血塊（お血）　1220　鍼灸資生経　王執中.jpg</v>
      </c>
    </row>
    <row r="1527" spans="1:2" x14ac:dyDescent="0.15">
      <c r="A1527" t="s">
        <v>1507</v>
      </c>
      <c r="B1527" t="str">
        <f>HYPERLINK("け/けつ　血崩　1220　鍼灸資生経　王執中_ページ_1.jpg")</f>
        <v>け/けつ　血崩　1220　鍼灸資生経　王執中_ページ_1.jpg</v>
      </c>
    </row>
    <row r="1528" spans="1:2" x14ac:dyDescent="0.15">
      <c r="A1528" t="s">
        <v>1508</v>
      </c>
      <c r="B1528" t="str">
        <f>HYPERLINK("け/けつ　血崩　1220　鍼灸資生経　王執中_ページ_2.jpg")</f>
        <v>け/けつ　血崩　1220　鍼灸資生経　王執中_ページ_2.jpg</v>
      </c>
    </row>
    <row r="1529" spans="1:2" x14ac:dyDescent="0.15">
      <c r="A1529" t="s">
        <v>1509</v>
      </c>
      <c r="B1529" t="str">
        <f>HYPERLINK("け/けつ　血崩　1686　鍼灸要法指南　岩田利斎.jpg")</f>
        <v>け/けつ　血崩　1686　鍼灸要法指南　岩田利斎.jpg</v>
      </c>
    </row>
    <row r="1530" spans="1:2" x14ac:dyDescent="0.15">
      <c r="A1530" t="s">
        <v>1510</v>
      </c>
      <c r="B1530" t="str">
        <f>HYPERLINK("け/けつ　血崩　1693　鍼灸要歌集　安井昌玄.jpg")</f>
        <v>け/けつ　血崩　1693　鍼灸要歌集　安井昌玄.jpg</v>
      </c>
    </row>
    <row r="1531" spans="1:2" x14ac:dyDescent="0.15">
      <c r="A1531" t="s">
        <v>1511</v>
      </c>
      <c r="B1531" t="str">
        <f>HYPERLINK("け/けつ　血崩　1767　鍼灸則　菅沼周桂.jpg")</f>
        <v>け/けつ　血崩　1767　鍼灸則　菅沼周桂.jpg</v>
      </c>
    </row>
    <row r="1532" spans="1:2" x14ac:dyDescent="0.15">
      <c r="A1532" t="s">
        <v>1512</v>
      </c>
      <c r="B1532" t="str">
        <f>HYPERLINK("け/けつ　血崩不止　1694　選鍼三要集　杉山和一.jpg")</f>
        <v>け/けつ　血崩不止　1694　選鍼三要集　杉山和一.jpg</v>
      </c>
    </row>
    <row r="1533" spans="1:2" x14ac:dyDescent="0.15">
      <c r="A1533" t="s">
        <v>1513</v>
      </c>
      <c r="B1533" t="str">
        <f>HYPERLINK("け/けつ　血暈　めまい　1686　鍼灸要法指南　岩田利斎.jpg")</f>
        <v>け/けつ　血暈　めまい　1686　鍼灸要法指南　岩田利斎.jpg</v>
      </c>
    </row>
    <row r="1534" spans="1:2" x14ac:dyDescent="0.15">
      <c r="A1534" t="s">
        <v>1514</v>
      </c>
      <c r="B1534" t="str">
        <f>HYPERLINK("け/けつ　血暈之論　1693　鍼灸要歌集　安井昌玄.jpg")</f>
        <v>け/けつ　血暈之論　1693　鍼灸要歌集　安井昌玄.jpg</v>
      </c>
    </row>
    <row r="1535" spans="1:2" x14ac:dyDescent="0.15">
      <c r="A1535" t="s">
        <v>1515</v>
      </c>
      <c r="B1535" t="str">
        <f>HYPERLINK("け/けつ　血淋　成書年未詳　灸穴集　著者未詳.jpg")</f>
        <v>け/けつ　血淋　成書年未詳　灸穴集　著者未詳.jpg</v>
      </c>
    </row>
    <row r="1536" spans="1:2" x14ac:dyDescent="0.15">
      <c r="A1536" t="s">
        <v>1516</v>
      </c>
      <c r="B1536" t="str">
        <f>HYPERLINK("け/けつ　血病　1703　鍼灸阿是要穴　岡本一抱_ページ_1.jpg")</f>
        <v>け/けつ　血病　1703　鍼灸阿是要穴　岡本一抱_ページ_1.jpg</v>
      </c>
    </row>
    <row r="1537" spans="1:2" x14ac:dyDescent="0.15">
      <c r="A1537" t="s">
        <v>1517</v>
      </c>
      <c r="B1537" t="str">
        <f>HYPERLINK("け/けつ　血病　1703　鍼灸阿是要穴　岡本一抱_ページ_2.jpg")</f>
        <v>け/けつ　血病　1703　鍼灸阿是要穴　岡本一抱_ページ_2.jpg</v>
      </c>
    </row>
    <row r="1538" spans="1:2" x14ac:dyDescent="0.15">
      <c r="A1538" t="s">
        <v>1518</v>
      </c>
      <c r="B1538" t="str">
        <f>HYPERLINK("け/けつ　血症　1813　名家灸選　浅井惟亨.jpg")</f>
        <v>け/けつ　血症　1813　名家灸選　浅井惟亨.jpg</v>
      </c>
    </row>
    <row r="1539" spans="1:2" x14ac:dyDescent="0.15">
      <c r="A1539" t="s">
        <v>1519</v>
      </c>
      <c r="B1539" t="str">
        <f>HYPERLINK("け/けつ　血症、吐血　1694　選鍼三要集　杉山和一.jpg")</f>
        <v>け/けつ　血症、吐血　1694　選鍼三要集　杉山和一.jpg</v>
      </c>
    </row>
    <row r="1540" spans="1:2" x14ac:dyDescent="0.15">
      <c r="A1540" t="s">
        <v>1520</v>
      </c>
      <c r="B1540" t="str">
        <f>HYPERLINK("け/けつ　血痔　はしりち　痔血、又、出血痔　1887（明治20）　鍼灸備要　青山道醇.jpg")</f>
        <v>け/けつ　血痔　はしりち　痔血、又、出血痔　1887（明治20）　鍼灸備要　青山道醇.jpg</v>
      </c>
    </row>
    <row r="1541" spans="1:2" x14ac:dyDescent="0.15">
      <c r="A1541" t="s">
        <v>1521</v>
      </c>
      <c r="B1541" t="str">
        <f>HYPERLINK("け/けつ　血証　1624　類経図翼　明・張介賓_ページ_1.jpg")</f>
        <v>け/けつ　血証　1624　類経図翼　明・張介賓_ページ_1.jpg</v>
      </c>
    </row>
    <row r="1542" spans="1:2" x14ac:dyDescent="0.15">
      <c r="A1542" t="s">
        <v>1522</v>
      </c>
      <c r="B1542" t="str">
        <f>HYPERLINK("け/けつ　血証　1624　類経図翼　明・張介賓_ページ_2.jpg")</f>
        <v>け/けつ　血証　1624　類経図翼　明・張介賓_ページ_2.jpg</v>
      </c>
    </row>
    <row r="1543" spans="1:2" x14ac:dyDescent="0.15">
      <c r="A1543" t="s">
        <v>1523</v>
      </c>
      <c r="B1543" t="str">
        <f>HYPERLINK("け/けつ　血証　1624　類経図翼　明・張介賓_ページ_3.jpg")</f>
        <v>け/けつ　血証　1624　類経図翼　明・張介賓_ページ_3.jpg</v>
      </c>
    </row>
    <row r="1544" spans="1:2" x14ac:dyDescent="0.15">
      <c r="A1544" t="s">
        <v>1524</v>
      </c>
      <c r="B1544" t="str">
        <f>HYPERLINK("け/けつ　血証　1624　類経図翼　明・張介賓_ページ_4.jpg")</f>
        <v>け/けつ　血証　1624　類経図翼　明・張介賓_ページ_4.jpg</v>
      </c>
    </row>
    <row r="1545" spans="1:2" x14ac:dyDescent="0.15">
      <c r="A1545" t="s">
        <v>1525</v>
      </c>
      <c r="B1545" t="str">
        <f>HYPERLINK("け/けつ　血証　1669　鍼灸枢要　山本玄通_ページ_1.jpg")</f>
        <v>け/けつ　血証　1669　鍼灸枢要　山本玄通_ページ_1.jpg</v>
      </c>
    </row>
    <row r="1546" spans="1:2" x14ac:dyDescent="0.15">
      <c r="A1546" t="s">
        <v>1526</v>
      </c>
      <c r="B1546" t="str">
        <f>HYPERLINK("け/けつ　血証　1669　鍼灸枢要　山本玄通_ページ_2.jpg")</f>
        <v>け/けつ　血証　1669　鍼灸枢要　山本玄通_ページ_2.jpg</v>
      </c>
    </row>
    <row r="1547" spans="1:2" x14ac:dyDescent="0.15">
      <c r="A1547" t="s">
        <v>1527</v>
      </c>
      <c r="B1547" t="str">
        <f>HYPERLINK("け/けつ　血証　1669　鍼灸枢要　山本玄通_ページ_3.jpg")</f>
        <v>け/けつ　血証　1669　鍼灸枢要　山本玄通_ページ_3.jpg</v>
      </c>
    </row>
    <row r="1548" spans="1:2" x14ac:dyDescent="0.15">
      <c r="A1548" t="s">
        <v>1528</v>
      </c>
      <c r="B1548" t="str">
        <f>HYPERLINK("け/けつ　血証　1669　鍼灸枢要　山本玄通_ページ_4.jpg")</f>
        <v>け/けつ　血証　1669　鍼灸枢要　山本玄通_ページ_4.jpg</v>
      </c>
    </row>
    <row r="1549" spans="1:2" x14ac:dyDescent="0.15">
      <c r="A1549" t="s">
        <v>1529</v>
      </c>
      <c r="B1549" t="str">
        <f>HYPERLINK("け/けつ　血証　1669　鍼灸枢要　山本玄通_ページ_5.jpg")</f>
        <v>け/けつ　血証　1669　鍼灸枢要　山本玄通_ページ_5.jpg</v>
      </c>
    </row>
    <row r="1550" spans="1:2" x14ac:dyDescent="0.15">
      <c r="A1550" t="s">
        <v>1530</v>
      </c>
      <c r="B1550" t="str">
        <f>HYPERLINK("け/けつ　血証　1669　鍼灸枢要　山本玄通_ページ_6.jpg")</f>
        <v>け/けつ　血証　1669　鍼灸枢要　山本玄通_ページ_6.jpg</v>
      </c>
    </row>
    <row r="1551" spans="1:2" x14ac:dyDescent="0.15">
      <c r="A1551" t="s">
        <v>1531</v>
      </c>
      <c r="B1551" t="str">
        <f>HYPERLINK("け/けつ　血証　1669　鍼灸枢要　山本玄通_ページ_7.jpg")</f>
        <v>け/けつ　血証　1669　鍼灸枢要　山本玄通_ページ_7.jpg</v>
      </c>
    </row>
    <row r="1552" spans="1:2" x14ac:dyDescent="0.15">
      <c r="A1552" t="s">
        <v>1532</v>
      </c>
      <c r="B1552" t="str">
        <f>HYPERLINK("け/けつ　血証　1669　鍼灸枢要　山本玄通_ページ_8.jpg")</f>
        <v>け/けつ　血証　1669　鍼灸枢要　山本玄通_ページ_8.jpg</v>
      </c>
    </row>
    <row r="1553" spans="1:2" x14ac:dyDescent="0.15">
      <c r="A1553" t="s">
        <v>1533</v>
      </c>
      <c r="B1553" t="str">
        <f>HYPERLINK("け/けつ　血証　1669　鍼灸枢要　山本玄通_ページ_9.jpg")</f>
        <v>け/けつ　血証　1669　鍼灸枢要　山本玄通_ページ_9.jpg</v>
      </c>
    </row>
    <row r="1554" spans="1:2" x14ac:dyDescent="0.15">
      <c r="A1554" t="s">
        <v>1534</v>
      </c>
      <c r="B1554" t="str">
        <f>HYPERLINK("け/けつ　血証　1761　挨穴捷径　杉原敦_ページ_1.jpg")</f>
        <v>け/けつ　血証　1761　挨穴捷径　杉原敦_ページ_1.jpg</v>
      </c>
    </row>
    <row r="1555" spans="1:2" x14ac:dyDescent="0.15">
      <c r="A1555" t="s">
        <v>1535</v>
      </c>
      <c r="B1555" t="str">
        <f>HYPERLINK("け/けつ　血証　1761　挨穴捷径　杉原敦_ページ_2.jpg")</f>
        <v>け/けつ　血証　1761　挨穴捷径　杉原敦_ページ_2.jpg</v>
      </c>
    </row>
    <row r="1556" spans="1:2" x14ac:dyDescent="0.15">
      <c r="A1556" t="s">
        <v>1536</v>
      </c>
      <c r="B1556" t="str">
        <f>HYPERLINK("け/けつ　血証　1800　鍼灸備要　小坂元祐_ページ_1.jpg")</f>
        <v>け/けつ　血証　1800　鍼灸備要　小坂元祐_ページ_1.jpg</v>
      </c>
    </row>
    <row r="1557" spans="1:2" x14ac:dyDescent="0.15">
      <c r="A1557" t="s">
        <v>1537</v>
      </c>
      <c r="B1557" t="str">
        <f>HYPERLINK("け/けつ　血証　1800　鍼灸備要　小坂元祐_ページ_2.jpg")</f>
        <v>け/けつ　血証　1800　鍼灸備要　小坂元祐_ページ_2.jpg</v>
      </c>
    </row>
    <row r="1558" spans="1:2" x14ac:dyDescent="0.15">
      <c r="A1558" t="s">
        <v>1538</v>
      </c>
      <c r="B1558" t="str">
        <f>HYPERLINK("け/けつ　血証　1800　鍼灸備要　小坂元祐_ページ_3.jpg")</f>
        <v>け/けつ　血証　1800　鍼灸備要　小坂元祐_ページ_3.jpg</v>
      </c>
    </row>
    <row r="1559" spans="1:2" x14ac:dyDescent="0.15">
      <c r="A1559" t="s">
        <v>1539</v>
      </c>
      <c r="B1559" t="str">
        <f>HYPERLINK("け/けつ　血証　1800　鍼灸備要　小坂元祐_ページ_4.jpg")</f>
        <v>け/けつ　血証　1800　鍼灸備要　小坂元祐_ページ_4.jpg</v>
      </c>
    </row>
    <row r="1560" spans="1:2" x14ac:dyDescent="0.15">
      <c r="A1560" t="s">
        <v>1540</v>
      </c>
      <c r="B1560" t="str">
        <f>HYPERLINK("け/けつ　諸穴直（しょけつのなおし）　1686　鍼灸要法指南　岩田利斎.jpg")</f>
        <v>け/けつ　諸穴直（しょけつのなおし）　1686　鍼灸要法指南　岩田利斎.jpg</v>
      </c>
    </row>
    <row r="1561" spans="1:2" x14ac:dyDescent="0.15">
      <c r="A1561" t="s">
        <v>1541</v>
      </c>
      <c r="B1561" t="str">
        <f>HYPERLINK("け/けつ　諸血　1767　鍼灸則　菅沼周桂_ページ_1.jpg")</f>
        <v>け/けつ　諸血　1767　鍼灸則　菅沼周桂_ページ_1.jpg</v>
      </c>
    </row>
    <row r="1562" spans="1:2" x14ac:dyDescent="0.15">
      <c r="A1562" t="s">
        <v>1542</v>
      </c>
      <c r="B1562" t="str">
        <f>HYPERLINK("け/けつ　諸血　1767　鍼灸則　菅沼周桂_ページ_2.jpg")</f>
        <v>け/けつ　諸血　1767　鍼灸則　菅沼周桂_ページ_2.jpg</v>
      </c>
    </row>
    <row r="1563" spans="1:2" x14ac:dyDescent="0.15">
      <c r="A1563" t="s">
        <v>1543</v>
      </c>
      <c r="B1563" t="str">
        <f>HYPERLINK("け/けつ　諸血証　1792　鍼法要集　源長起_ページ_1.jpg")</f>
        <v>け/けつ　諸血証　1792　鍼法要集　源長起_ページ_1.jpg</v>
      </c>
    </row>
    <row r="1564" spans="1:2" x14ac:dyDescent="0.15">
      <c r="A1564" t="s">
        <v>1544</v>
      </c>
      <c r="B1564" t="str">
        <f>HYPERLINK("け/けつ　諸血証　1792　鍼法要集　源長起_ページ_2.jpg")</f>
        <v>け/けつ　諸血証　1792　鍼法要集　源長起_ページ_2.jpg</v>
      </c>
    </row>
    <row r="1565" spans="1:2" x14ac:dyDescent="0.15">
      <c r="A1565" t="s">
        <v>1545</v>
      </c>
      <c r="B1565" t="str">
        <f>HYPERLINK("け/けつ　諸血証　1792　鍼法要集　源長起_ページ_3.jpg")</f>
        <v>け/けつ　諸血証　1792　鍼法要集　源長起_ページ_3.jpg</v>
      </c>
    </row>
    <row r="1566" spans="1:2" x14ac:dyDescent="0.15">
      <c r="A1566" t="s">
        <v>1546</v>
      </c>
      <c r="B1566" t="str">
        <f>HYPERLINK("け/けつ　（崩中お血嘔血唾血）●動作失度内外傷発崩中お血嘔血唾血　第七　0300　鍼灸甲乙経　皇甫謐_ページ_1.jpg")</f>
        <v>け/けつ　（崩中お血嘔血唾血）●動作失度内外傷発崩中お血嘔血唾血　第七　0300　鍼灸甲乙経　皇甫謐_ページ_1.jpg</v>
      </c>
    </row>
    <row r="1567" spans="1:2" x14ac:dyDescent="0.15">
      <c r="A1567" t="s">
        <v>1547</v>
      </c>
      <c r="B1567" t="str">
        <f>HYPERLINK("け/けつ　（崩中お血嘔血唾血）●動作失度内外傷発崩中お血嘔血唾血　第七　0300　鍼灸甲乙経　皇甫謐_ページ_2.jpg")</f>
        <v>け/けつ　（崩中お血嘔血唾血）●動作失度内外傷発崩中お血嘔血唾血　第七　0300　鍼灸甲乙経　皇甫謐_ページ_2.jpg</v>
      </c>
    </row>
    <row r="1568" spans="1:2" x14ac:dyDescent="0.15">
      <c r="A1568" t="s">
        <v>1548</v>
      </c>
      <c r="B1568" t="str">
        <f>HYPERLINK("け/けつ　（熱厥　寒厥）●陰衰発熱厥陽衰発寒厥　第三　0300　鍼灸甲乙経　皇甫謐_ページ_1.jpg")</f>
        <v>け/けつ　（熱厥　寒厥）●陰衰発熱厥陽衰発寒厥　第三　0300　鍼灸甲乙経　皇甫謐_ページ_1.jpg</v>
      </c>
    </row>
    <row r="1569" spans="1:2" x14ac:dyDescent="0.15">
      <c r="A1569" t="s">
        <v>1549</v>
      </c>
      <c r="B1569" t="str">
        <f>HYPERLINK("け/けつ　（熱厥　寒厥）●陰衰発熱厥陽衰発寒厥　第三　0300　鍼灸甲乙経　皇甫謐_ページ_2.jpg")</f>
        <v>け/けつ　（熱厥　寒厥）●陰衰発熱厥陽衰発寒厥　第三　0300　鍼灸甲乙経　皇甫謐_ページ_2.jpg</v>
      </c>
    </row>
    <row r="1570" spans="1:2" x14ac:dyDescent="0.15">
      <c r="A1570" t="s">
        <v>1550</v>
      </c>
      <c r="B1570" t="str">
        <f>HYPERLINK("け/けつ　（熱厥　寒厥）●陰衰発熱厥陽衰発寒厥　第三　0300　鍼灸甲乙経　皇甫謐_ページ_3.jpg")</f>
        <v>け/けつ　（熱厥　寒厥）●陰衰発熱厥陽衰発寒厥　第三　0300　鍼灸甲乙経　皇甫謐_ページ_3.jpg</v>
      </c>
    </row>
    <row r="1571" spans="1:2" x14ac:dyDescent="0.15">
      <c r="A1571" t="s">
        <v>1551</v>
      </c>
      <c r="B1571" t="str">
        <f>HYPERLINK("け/けん　健忘 附 せいちゅう　1698　鍼灸抜粋大成　岡本一抱.jpg")</f>
        <v>け/けん　健忘 附 せいちゅう　1698　鍼灸抜粋大成　岡本一抱.jpg</v>
      </c>
    </row>
    <row r="1572" spans="1:2" x14ac:dyDescent="0.15">
      <c r="A1572" t="s">
        <v>1552</v>
      </c>
      <c r="B1572" t="str">
        <f>HYPERLINK("け/けん　健忘　1669　鍼灸枢要　山本玄通_ページ_1.jpg")</f>
        <v>け/けん　健忘　1669　鍼灸枢要　山本玄通_ページ_1.jpg</v>
      </c>
    </row>
    <row r="1573" spans="1:2" x14ac:dyDescent="0.15">
      <c r="A1573" t="s">
        <v>1553</v>
      </c>
      <c r="B1573" t="str">
        <f>HYPERLINK("け/けん　健忘　1669　鍼灸枢要　山本玄通_ページ_2.jpg")</f>
        <v>け/けん　健忘　1669　鍼灸枢要　山本玄通_ページ_2.jpg</v>
      </c>
    </row>
    <row r="1574" spans="1:2" x14ac:dyDescent="0.15">
      <c r="A1574" t="s">
        <v>1554</v>
      </c>
      <c r="B1574" t="str">
        <f>HYPERLINK("け/けん　健忘　1680　鍼灸抜萃　著者未詳.jpg")</f>
        <v>け/けん　健忘　1680　鍼灸抜萃　著者未詳.jpg</v>
      </c>
    </row>
    <row r="1575" spans="1:2" x14ac:dyDescent="0.15">
      <c r="A1575" t="s">
        <v>1555</v>
      </c>
      <c r="B1575" t="str">
        <f>HYPERLINK("け/けん　健忘　1686　鍼灸要法指南　岩田利斎.jpg")</f>
        <v>け/けん　健忘　1686　鍼灸要法指南　岩田利斎.jpg</v>
      </c>
    </row>
    <row r="1576" spans="1:2" x14ac:dyDescent="0.15">
      <c r="A1576" t="s">
        <v>1556</v>
      </c>
      <c r="B1576" t="str">
        <f>HYPERLINK("け/けん　健忘　1693　鍼灸要歌集　安井昌玄_ページ_1.jpg")</f>
        <v>け/けん　健忘　1693　鍼灸要歌集　安井昌玄_ページ_1.jpg</v>
      </c>
    </row>
    <row r="1577" spans="1:2" x14ac:dyDescent="0.15">
      <c r="A1577" t="s">
        <v>1557</v>
      </c>
      <c r="B1577" t="str">
        <f>HYPERLINK("け/けん　健忘　1693　鍼灸要歌集　安井昌玄_ページ_2.jpg")</f>
        <v>け/けん　健忘　1693　鍼灸要歌集　安井昌玄_ページ_2.jpg</v>
      </c>
    </row>
    <row r="1578" spans="1:2" x14ac:dyDescent="0.15">
      <c r="A1578" t="s">
        <v>1558</v>
      </c>
      <c r="B1578" t="str">
        <f>HYPERLINK("け/けん　健忘　1696　広益鍼灸抜萃　著者未詳.jpg")</f>
        <v>け/けん　健忘　1696　広益鍼灸抜萃　著者未詳.jpg</v>
      </c>
    </row>
    <row r="1579" spans="1:2" x14ac:dyDescent="0.15">
      <c r="A1579" t="s">
        <v>1559</v>
      </c>
      <c r="B1579" t="str">
        <f>HYPERLINK("け/けん　健忘　1767　鍼灸則　菅沼周桂_ページ_1.jpg")</f>
        <v>け/けん　健忘　1767　鍼灸則　菅沼周桂_ページ_1.jpg</v>
      </c>
    </row>
    <row r="1580" spans="1:2" x14ac:dyDescent="0.15">
      <c r="A1580" t="s">
        <v>1560</v>
      </c>
      <c r="B1580" t="str">
        <f>HYPERLINK("け/けん　健忘　1767　鍼灸則　菅沼周桂_ページ_2.jpg")</f>
        <v>け/けん　健忘　1767　鍼灸則　菅沼周桂_ページ_2.jpg</v>
      </c>
    </row>
    <row r="1581" spans="1:2" x14ac:dyDescent="0.15">
      <c r="A1581" t="s">
        <v>1561</v>
      </c>
      <c r="B1581" t="str">
        <f>HYPERLINK("け/けん　健忘　1773　鍼灸手引草　大簡室主人.jpg")</f>
        <v>け/けん　健忘　1773　鍼灸手引草　大簡室主人.jpg</v>
      </c>
    </row>
    <row r="1582" spans="1:2" x14ac:dyDescent="0.15">
      <c r="A1582" t="s">
        <v>1562</v>
      </c>
      <c r="B1582" t="str">
        <f>HYPERLINK("け/けん　健忘　1800　鍼灸備要　小坂元祐.jpg")</f>
        <v>け/けん　健忘　1800　鍼灸備要　小坂元祐.jpg</v>
      </c>
    </row>
    <row r="1583" spans="1:2" x14ac:dyDescent="0.15">
      <c r="A1583" t="s">
        <v>1563</v>
      </c>
      <c r="B1583" t="str">
        <f>HYPERLINK("け/けん　健忘　成書年未詳　灸穴集　著者未詳.jpg")</f>
        <v>け/けん　健忘　成書年未詳　灸穴集　著者未詳.jpg</v>
      </c>
    </row>
    <row r="1584" spans="1:2" x14ac:dyDescent="0.15">
      <c r="A1584" t="s">
        <v>1564</v>
      </c>
      <c r="B1584" t="str">
        <f>HYPERLINK("け/けん　健忘　成書年未詳　経穴図解　著者未詳.jpg")</f>
        <v>け/けん　健忘　成書年未詳　経穴図解　著者未詳.jpg</v>
      </c>
    </row>
    <row r="1585" spans="1:2" x14ac:dyDescent="0.15">
      <c r="A1585" t="s">
        <v>1565</v>
      </c>
      <c r="B1585" t="str">
        <f>HYPERLINK("け/けん　健忘　附　せいちゅう　1694　鍼灸そかい集　高津敬節.jpg")</f>
        <v>け/けん　健忘　附　せいちゅう　1694　鍼灸そかい集　高津敬節.jpg</v>
      </c>
    </row>
    <row r="1586" spans="1:2" x14ac:dyDescent="0.15">
      <c r="A1586" t="s">
        <v>1566</v>
      </c>
      <c r="B1586" t="str">
        <f>HYPERLINK("け/けん　健忘せいちゅう　1792　鍼法要集　源長起_ページ_1.jpg")</f>
        <v>け/けん　健忘せいちゅう　1792　鍼法要集　源長起_ページ_1.jpg</v>
      </c>
    </row>
    <row r="1587" spans="1:2" x14ac:dyDescent="0.15">
      <c r="A1587" t="s">
        <v>1567</v>
      </c>
      <c r="B1587" t="str">
        <f>HYPERLINK("け/けん　健忘せいちゅう　1792　鍼法要集　源長起_ページ_2.jpg")</f>
        <v>け/けん　健忘せいちゅう　1792　鍼法要集　源長起_ページ_2.jpg</v>
      </c>
    </row>
    <row r="1588" spans="1:2" x14ac:dyDescent="0.15">
      <c r="A1588" t="s">
        <v>1568</v>
      </c>
      <c r="B1588" t="str">
        <f>HYPERLINK("け/けん　健忘・せいちゅう・驚悸　1718　鍼灸重宝記　本郷正豊.jpg")</f>
        <v>け/けん　健忘・せいちゅう・驚悸　1718　鍼灸重宝記　本郷正豊.jpg</v>
      </c>
    </row>
    <row r="1589" spans="1:2" x14ac:dyDescent="0.15">
      <c r="A1589" t="s">
        <v>1569</v>
      </c>
      <c r="B1589" t="str">
        <f>HYPERLINK("け/けん　健忘（けんぼう）　気ぬけ、又、ものわすれ　健忘　1887（明治20）　鍼灸備要　青山道醇.jpg")</f>
        <v>け/けん　健忘（けんぼう）　気ぬけ、又、ものわすれ　健忘　1887（明治20）　鍼灸備要　青山道醇.jpg</v>
      </c>
    </row>
    <row r="1590" spans="1:2" x14ac:dyDescent="0.15">
      <c r="A1590" t="s">
        <v>1570</v>
      </c>
      <c r="B1590" t="str">
        <f>HYPERLINK("け/けん　犬傷　成書年未詳　灸穴集　著者未詳_ページ_1.jpg")</f>
        <v>け/けん　犬傷　成書年未詳　灸穴集　著者未詳_ページ_1.jpg</v>
      </c>
    </row>
    <row r="1591" spans="1:2" x14ac:dyDescent="0.15">
      <c r="A1591" t="s">
        <v>1571</v>
      </c>
      <c r="B1591" t="str">
        <f>HYPERLINK("け/けん　犬傷　成書年未詳　灸穴集　著者未詳_ページ_2.jpg")</f>
        <v>け/けん　犬傷　成書年未詳　灸穴集　著者未詳_ページ_2.jpg</v>
      </c>
    </row>
    <row r="1592" spans="1:2" x14ac:dyDescent="0.15">
      <c r="A1592" t="s">
        <v>1572</v>
      </c>
      <c r="B1592" t="str">
        <f>HYPERLINK("け/けん　犬傷（蛇傷）　1220　鍼灸資生経　王執中.jpg")</f>
        <v>け/けん　犬傷（蛇傷）　1220　鍼灸資生経　王執中.jpg</v>
      </c>
    </row>
    <row r="1593" spans="1:2" x14ac:dyDescent="0.15">
      <c r="A1593" t="s">
        <v>1573</v>
      </c>
      <c r="B1593" t="str">
        <f>HYPERLINK("け/けん　犬咬　1226　備急灸法　宋・聞人耆年.jpg")</f>
        <v>け/けん　犬咬　1226　備急灸法　宋・聞人耆年.jpg</v>
      </c>
    </row>
    <row r="1594" spans="1:2" x14ac:dyDescent="0.15">
      <c r="A1594" t="s">
        <v>1574</v>
      </c>
      <c r="B1594" t="str">
        <f>HYPERLINK("け/けん　痃癖　1220　鍼灸資生経　王執中.jpg")</f>
        <v>け/けん　痃癖　1220　鍼灸資生経　王執中.jpg</v>
      </c>
    </row>
    <row r="1595" spans="1:2" x14ac:dyDescent="0.15">
      <c r="A1595" t="s">
        <v>1575</v>
      </c>
      <c r="B1595" t="str">
        <f>HYPERLINK("け/けん　痃癖　1680　鍼灸抜萃　著者未詳.jpg")</f>
        <v>け/けん　痃癖　1680　鍼灸抜萃　著者未詳.jpg</v>
      </c>
    </row>
    <row r="1596" spans="1:2" x14ac:dyDescent="0.15">
      <c r="A1596" t="s">
        <v>1576</v>
      </c>
      <c r="B1596" t="str">
        <f>HYPERLINK("け/けん　痃癖　1693　鍼灸要歌集　安井昌玄_ページ_1.jpg")</f>
        <v>け/けん　痃癖　1693　鍼灸要歌集　安井昌玄_ページ_1.jpg</v>
      </c>
    </row>
    <row r="1597" spans="1:2" x14ac:dyDescent="0.15">
      <c r="A1597" t="s">
        <v>1577</v>
      </c>
      <c r="B1597" t="str">
        <f>HYPERLINK("け/けん　痃癖　1693　鍼灸要歌集　安井昌玄_ページ_2.jpg")</f>
        <v>け/けん　痃癖　1693　鍼灸要歌集　安井昌玄_ページ_2.jpg</v>
      </c>
    </row>
    <row r="1598" spans="1:2" x14ac:dyDescent="0.15">
      <c r="A1598" t="s">
        <v>1578</v>
      </c>
      <c r="B1598" t="str">
        <f>HYPERLINK("け/けん　痃癖　1694　鍼灸そかい集　高津敬節_ページ_1.jpg")</f>
        <v>け/けん　痃癖　1694　鍼灸そかい集　高津敬節_ページ_1.jpg</v>
      </c>
    </row>
    <row r="1599" spans="1:2" x14ac:dyDescent="0.15">
      <c r="A1599" t="s">
        <v>1579</v>
      </c>
      <c r="B1599" t="str">
        <f>HYPERLINK("け/けん　痃癖　1694　鍼灸そかい集　高津敬節_ページ_2.jpg")</f>
        <v>け/けん　痃癖　1694　鍼灸そかい集　高津敬節_ページ_2.jpg</v>
      </c>
    </row>
    <row r="1600" spans="1:2" x14ac:dyDescent="0.15">
      <c r="A1600" t="s">
        <v>1580</v>
      </c>
      <c r="B1600" t="str">
        <f>HYPERLINK("け/けん　痃癖　1696　広益鍼灸抜萃　著者未詳_ページ_1.jpg")</f>
        <v>け/けん　痃癖　1696　広益鍼灸抜萃　著者未詳_ページ_1.jpg</v>
      </c>
    </row>
    <row r="1601" spans="1:2" x14ac:dyDescent="0.15">
      <c r="A1601" t="s">
        <v>1581</v>
      </c>
      <c r="B1601" t="str">
        <f>HYPERLINK("け/けん　痃癖　1696　広益鍼灸抜萃　著者未詳_ページ_2.jpg")</f>
        <v>け/けん　痃癖　1696　広益鍼灸抜萃　著者未詳_ページ_2.jpg</v>
      </c>
    </row>
    <row r="1602" spans="1:2" x14ac:dyDescent="0.15">
      <c r="A1602" t="s">
        <v>1582</v>
      </c>
      <c r="B1602" t="str">
        <f>HYPERLINK("け/けん　痃癖　1696　広益鍼灸抜萃　著者未詳_ページ_3.jpg")</f>
        <v>け/けん　痃癖　1696　広益鍼灸抜萃　著者未詳_ページ_3.jpg</v>
      </c>
    </row>
    <row r="1603" spans="1:2" x14ac:dyDescent="0.15">
      <c r="A1603" t="s">
        <v>1583</v>
      </c>
      <c r="B1603" t="str">
        <f>HYPERLINK("け/けん　痃癖　1718　鍼灸重宝記　本郷正豊.jpg")</f>
        <v>け/けん　痃癖　1718　鍼灸重宝記　本郷正豊.jpg</v>
      </c>
    </row>
    <row r="1604" spans="1:2" x14ac:dyDescent="0.15">
      <c r="A1604" t="s">
        <v>1584</v>
      </c>
      <c r="B1604" t="str">
        <f>HYPERLINK("け/けん　痃癖　1773　鍼灸手引草　大簡室主人_ページ_1.jpg")</f>
        <v>け/けん　痃癖　1773　鍼灸手引草　大簡室主人_ページ_1.jpg</v>
      </c>
    </row>
    <row r="1605" spans="1:2" x14ac:dyDescent="0.15">
      <c r="A1605" t="s">
        <v>1585</v>
      </c>
      <c r="B1605" t="str">
        <f>HYPERLINK("け/けん　痃癖　1773　鍼灸手引草　大簡室主人_ページ_2.jpg")</f>
        <v>け/けん　痃癖　1773　鍼灸手引草　大簡室主人_ページ_2.jpg</v>
      </c>
    </row>
    <row r="1606" spans="1:2" x14ac:dyDescent="0.15">
      <c r="A1606" t="s">
        <v>1586</v>
      </c>
      <c r="B1606" t="str">
        <f>HYPERLINK("け/けん　痃癖　かたかい　1686　鍼灸要法指南　岩田利斎_ページ_1.jpg")</f>
        <v>け/けん　痃癖　かたかい　1686　鍼灸要法指南　岩田利斎_ページ_1.jpg</v>
      </c>
    </row>
    <row r="1607" spans="1:2" x14ac:dyDescent="0.15">
      <c r="A1607" t="s">
        <v>1587</v>
      </c>
      <c r="B1607" t="str">
        <f>HYPERLINK("け/けん　痃癖　かたかい　1686　鍼灸要法指南　岩田利斎_ページ_2.jpg")</f>
        <v>け/けん　痃癖　かたかい　1686　鍼灸要法指南　岩田利斎_ページ_2.jpg</v>
      </c>
    </row>
    <row r="1608" spans="1:2" x14ac:dyDescent="0.15">
      <c r="A1608" t="s">
        <v>1588</v>
      </c>
      <c r="B1608" t="str">
        <f>HYPERLINK("け/けん　痃癖　疝か　石か　腸覃　1669　鍼灸枢要　山本玄通_ページ_1.jpg")</f>
        <v>け/けん　痃癖　疝か　石か　腸覃　1669　鍼灸枢要　山本玄通_ページ_1.jpg</v>
      </c>
    </row>
    <row r="1609" spans="1:2" x14ac:dyDescent="0.15">
      <c r="A1609" t="s">
        <v>1589</v>
      </c>
      <c r="B1609" t="str">
        <f>HYPERLINK("け/けん　痃癖　疝か　石か　腸覃　1669　鍼灸枢要　山本玄通_ページ_2.jpg")</f>
        <v>け/けん　痃癖　疝か　石か　腸覃　1669　鍼灸枢要　山本玄通_ページ_2.jpg</v>
      </c>
    </row>
    <row r="1610" spans="1:2" x14ac:dyDescent="0.15">
      <c r="A1610" t="s">
        <v>1590</v>
      </c>
      <c r="B1610" t="str">
        <f>HYPERLINK("け/けん　痃癖　疝か　石か　腸覃　1669　鍼灸枢要　山本玄通_ページ_3.jpg")</f>
        <v>け/けん　痃癖　疝か　石か　腸覃　1669　鍼灸枢要　山本玄通_ページ_3.jpg</v>
      </c>
    </row>
    <row r="1611" spans="1:2" x14ac:dyDescent="0.15">
      <c r="A1611" t="s">
        <v>1591</v>
      </c>
      <c r="B1611" t="str">
        <f>HYPERLINK("け/けん　痃癖　疝か　石か　腸覃　1669　鍼灸枢要　山本玄通_ページ_4.jpg")</f>
        <v>け/けん　痃癖　疝か　石か　腸覃　1669　鍼灸枢要　山本玄通_ページ_4.jpg</v>
      </c>
    </row>
    <row r="1612" spans="1:2" x14ac:dyDescent="0.15">
      <c r="A1612" t="s">
        <v>1592</v>
      </c>
      <c r="B1612" t="str">
        <f>HYPERLINK("け/けん　痃癖卒痛（げんへきそつつう）　はやうちかた　心胸神経痛　1887（明治20）　鍼灸備要　青山道醇.jpg")</f>
        <v>け/けん　痃癖卒痛（げんへきそつつう）　はやうちかた　心胸神経痛　1887（明治20）　鍼灸備要　青山道醇.jpg</v>
      </c>
    </row>
    <row r="1613" spans="1:2" x14ac:dyDescent="0.15">
      <c r="A1613" t="s">
        <v>1593</v>
      </c>
      <c r="B1613" t="str">
        <f>HYPERLINK("け/けん　痃癖，小腸，膀胱，腎餘※①，疝気等疾　1315　鍼経摘英集　元・杜思敬「済生抜粋方」_ページ_1.jpg")</f>
        <v>け/けん　痃癖，小腸，膀胱，腎餘※①，疝気等疾　1315　鍼経摘英集　元・杜思敬「済生抜粋方」_ページ_1.jpg</v>
      </c>
    </row>
    <row r="1614" spans="1:2" x14ac:dyDescent="0.15">
      <c r="A1614" t="s">
        <v>1594</v>
      </c>
      <c r="B1614" t="str">
        <f>HYPERLINK("け/けん　痃癖，小腸，膀胱，腎餘※①，疝気等疾　1315　鍼経摘英集　元・杜思敬「済生抜粋方」_ページ_2.jpg")</f>
        <v>け/けん　痃癖，小腸，膀胱，腎餘※①，疝気等疾　1315　鍼経摘英集　元・杜思敬「済生抜粋方」_ページ_2.jpg</v>
      </c>
    </row>
    <row r="1615" spans="1:2" x14ac:dyDescent="0.15">
      <c r="A1615" t="s">
        <v>1595</v>
      </c>
      <c r="B1615" t="str">
        <f>HYPERLINK("け/けん　肩息　1800　鍼灸備要　小坂元祐.jpg")</f>
        <v>け/けん　肩息　1800　鍼灸備要　小坂元祐.jpg</v>
      </c>
    </row>
    <row r="1616" spans="1:2" x14ac:dyDescent="0.15">
      <c r="A1616" t="s">
        <v>1596</v>
      </c>
      <c r="B1616" t="str">
        <f>HYPERLINK("け/けん　肩痛　1887（明治20）　鍼灸備要　青山道醇.jpg")</f>
        <v>け/けん　肩痛　1887（明治20）　鍼灸備要　青山道醇.jpg</v>
      </c>
    </row>
    <row r="1617" spans="1:2" x14ac:dyDescent="0.15">
      <c r="A1617" t="s">
        <v>1597</v>
      </c>
      <c r="B1617" t="str">
        <f>HYPERLINK("け/けん　肩痛　かたのいたみ　1780　鍼灸極秘伝　木村太沖.jpg")</f>
        <v>け/けん　肩痛　かたのいたみ　1780　鍼灸極秘伝　木村太沖.jpg</v>
      </c>
    </row>
    <row r="1618" spans="1:2" x14ac:dyDescent="0.15">
      <c r="A1618" t="s">
        <v>1598</v>
      </c>
      <c r="B1618" t="str">
        <f>HYPERLINK("け/けん　肩痺痛（不仁不挙）　1220　鍼灸資生経　王執中.jpg")</f>
        <v>け/けん　肩痺痛（不仁不挙）　1220　鍼灸資生経　王執中.jpg</v>
      </c>
    </row>
    <row r="1619" spans="1:2" x14ac:dyDescent="0.15">
      <c r="A1619" t="s">
        <v>1599</v>
      </c>
      <c r="B1619" t="str">
        <f>HYPERLINK("け/けん　肩瘡　成書年未詳　灸穴集　著者未詳.jpg")</f>
        <v>け/けん　肩瘡　成書年未詳　灸穴集　著者未詳.jpg</v>
      </c>
    </row>
    <row r="1620" spans="1:2" x14ac:dyDescent="0.15">
      <c r="A1620" t="s">
        <v>1600</v>
      </c>
      <c r="B1620" t="str">
        <f>HYPERLINK("け/けん　肩穴返り妙灸　1594　経脈方寸秘書　曲直瀬道三_ページ_1.jpg")</f>
        <v>け/けん　肩穴返り妙灸　1594　経脈方寸秘書　曲直瀬道三_ページ_1.jpg</v>
      </c>
    </row>
    <row r="1621" spans="1:2" x14ac:dyDescent="0.15">
      <c r="A1621" t="s">
        <v>1601</v>
      </c>
      <c r="B1621" t="str">
        <f>HYPERLINK("け/けん　肩穴返り妙灸　1594　経脈方寸秘書　曲直瀬道三_ページ_2.jpg")</f>
        <v>け/けん　肩穴返り妙灸　1594　経脈方寸秘書　曲直瀬道三_ページ_2.jpg</v>
      </c>
    </row>
    <row r="1622" spans="1:2" x14ac:dyDescent="0.15">
      <c r="A1622" t="s">
        <v>1602</v>
      </c>
      <c r="B1622" t="str">
        <f>HYPERLINK("け/けん　肩背　0650　千金方　孫思ばく.jpg")</f>
        <v>け/けん　肩背　0650　千金方　孫思ばく.jpg</v>
      </c>
    </row>
    <row r="1623" spans="1:2" x14ac:dyDescent="0.15">
      <c r="A1623" t="s">
        <v>1603</v>
      </c>
      <c r="B1623" t="str">
        <f>HYPERLINK("け/けん　肩背　1669　鍼灸枢要　山本玄通_ページ_1.jpg")</f>
        <v>け/けん　肩背　1669　鍼灸枢要　山本玄通_ページ_1.jpg</v>
      </c>
    </row>
    <row r="1624" spans="1:2" x14ac:dyDescent="0.15">
      <c r="A1624" t="s">
        <v>1604</v>
      </c>
      <c r="B1624" t="str">
        <f>HYPERLINK("け/けん　肩背　1669　鍼灸枢要　山本玄通_ページ_2.jpg")</f>
        <v>け/けん　肩背　1669　鍼灸枢要　山本玄通_ページ_2.jpg</v>
      </c>
    </row>
    <row r="1625" spans="1:2" x14ac:dyDescent="0.15">
      <c r="A1625" t="s">
        <v>1605</v>
      </c>
      <c r="B1625" t="str">
        <f>HYPERLINK("け/けん　肩背　1669　鍼灸枢要　山本玄通_ページ_3.jpg")</f>
        <v>け/けん　肩背　1669　鍼灸枢要　山本玄通_ページ_3.jpg</v>
      </c>
    </row>
    <row r="1626" spans="1:2" x14ac:dyDescent="0.15">
      <c r="A1626" t="s">
        <v>1606</v>
      </c>
      <c r="B1626" t="str">
        <f>HYPERLINK("け/けん　肩背　1669　鍼灸枢要　山本玄通_ページ_4.jpg")</f>
        <v>け/けん　肩背　1669　鍼灸枢要　山本玄通_ページ_4.jpg</v>
      </c>
    </row>
    <row r="1627" spans="1:2" x14ac:dyDescent="0.15">
      <c r="A1627" t="s">
        <v>1607</v>
      </c>
      <c r="B1627" t="str">
        <f>HYPERLINK("け/けん　肩背　1669　鍼灸枢要　山本玄通_ページ_5.jpg")</f>
        <v>け/けん　肩背　1669　鍼灸枢要　山本玄通_ページ_5.jpg</v>
      </c>
    </row>
    <row r="1628" spans="1:2" x14ac:dyDescent="0.15">
      <c r="A1628" t="s">
        <v>1608</v>
      </c>
      <c r="B1628" t="str">
        <f>HYPERLINK("け/けん　肩背　1792　鍼法要集　源長起_ページ_1.jpg")</f>
        <v>け/けん　肩背　1792　鍼法要集　源長起_ページ_1.jpg</v>
      </c>
    </row>
    <row r="1629" spans="1:2" x14ac:dyDescent="0.15">
      <c r="A1629" t="s">
        <v>1609</v>
      </c>
      <c r="B1629" t="str">
        <f>HYPERLINK("け/けん　肩背　1792　鍼法要集　源長起_ページ_2.jpg")</f>
        <v>け/けん　肩背　1792　鍼法要集　源長起_ページ_2.jpg</v>
      </c>
    </row>
    <row r="1630" spans="1:2" x14ac:dyDescent="0.15">
      <c r="A1630" t="s">
        <v>1610</v>
      </c>
      <c r="B1630" t="str">
        <f>HYPERLINK("け/けん　肩背　1800　鍼灸備要　小坂元祐.jpg")</f>
        <v>け/けん　肩背　1800　鍼灸備要　小坂元祐.jpg</v>
      </c>
    </row>
    <row r="1631" spans="1:2" x14ac:dyDescent="0.15">
      <c r="A1631" t="s">
        <v>1611</v>
      </c>
      <c r="B1631" t="str">
        <f>HYPERLINK("け/けん　肩背痛　1299　続添要穴集　惟宗時俊_ページ_1.jpg")</f>
        <v>け/けん　肩背痛　1299　続添要穴集　惟宗時俊_ページ_1.jpg</v>
      </c>
    </row>
    <row r="1632" spans="1:2" x14ac:dyDescent="0.15">
      <c r="A1632" t="s">
        <v>1612</v>
      </c>
      <c r="B1632" t="str">
        <f>HYPERLINK("け/けん　肩背痛　1299　続添要穴集　惟宗時俊_ページ_2.jpg")</f>
        <v>け/けん　肩背痛　1299　続添要穴集　惟宗時俊_ページ_2.jpg</v>
      </c>
    </row>
    <row r="1633" spans="1:2" x14ac:dyDescent="0.15">
      <c r="A1633" t="s">
        <v>1613</v>
      </c>
      <c r="B1633" t="str">
        <f>HYPERLINK("け/けん　肩背痛　1329　扁鵲神応鍼灸玉龍経　元・王国瑞.jpg")</f>
        <v>け/けん　肩背痛　1329　扁鵲神応鍼灸玉龍経　元・王国瑞.jpg</v>
      </c>
    </row>
    <row r="1634" spans="1:2" x14ac:dyDescent="0.15">
      <c r="A1634" t="s">
        <v>1614</v>
      </c>
      <c r="B1634" t="str">
        <f>HYPERLINK("け/けん　肩背痛　1792　鍼法要集　源長起_ページ_1.jpg")</f>
        <v>け/けん　肩背痛　1792　鍼法要集　源長起_ページ_1.jpg</v>
      </c>
    </row>
    <row r="1635" spans="1:2" x14ac:dyDescent="0.15">
      <c r="A1635" t="s">
        <v>1615</v>
      </c>
      <c r="B1635" t="str">
        <f>HYPERLINK("け/けん　肩背痛　1792　鍼法要集　源長起_ページ_2.jpg")</f>
        <v>け/けん　肩背痛　1792　鍼法要集　源長起_ページ_2.jpg</v>
      </c>
    </row>
    <row r="1636" spans="1:2" x14ac:dyDescent="0.15">
      <c r="A1636" t="s">
        <v>1616</v>
      </c>
      <c r="B1636" t="str">
        <f>HYPERLINK("け/けん　肩背痛肩前臑皆痛似抜　0300　●手太陰陽明太陽少陽脈動発肩背痛肩前臑皆痛似抜　第五　鍼灸甲乙経　皇甫謐_ページ_1.jpg")</f>
        <v>け/けん　肩背痛肩前臑皆痛似抜　0300　●手太陰陽明太陽少陽脈動発肩背痛肩前臑皆痛似抜　第五　鍼灸甲乙経　皇甫謐_ページ_1.jpg</v>
      </c>
    </row>
    <row r="1637" spans="1:2" x14ac:dyDescent="0.15">
      <c r="A1637" t="s">
        <v>1617</v>
      </c>
      <c r="B1637" t="str">
        <f>HYPERLINK("け/けん　肩背痛肩前臑皆痛似抜　0300　●手太陰陽明太陽少陽脈動発肩背痛肩前臑皆痛似抜　第五　鍼灸甲乙経　皇甫謐_ページ_2.jpg")</f>
        <v>け/けん　肩背痛肩前臑皆痛似抜　0300　●手太陰陽明太陽少陽脈動発肩背痛肩前臑皆痛似抜　第五　鍼灸甲乙経　皇甫謐_ページ_2.jpg</v>
      </c>
    </row>
    <row r="1638" spans="1:2" x14ac:dyDescent="0.15">
      <c r="A1638" t="s">
        <v>1618</v>
      </c>
      <c r="B1638" t="str">
        <f>HYPERLINK("け/けん　肩背酸痛　1220　鍼灸資生経　王執中_ページ_1.jpg")</f>
        <v>け/けん　肩背酸痛　1220　鍼灸資生経　王執中_ページ_1.jpg</v>
      </c>
    </row>
    <row r="1639" spans="1:2" x14ac:dyDescent="0.15">
      <c r="A1639" t="s">
        <v>1619</v>
      </c>
      <c r="B1639" t="str">
        <f>HYPERLINK("け/けん　肩背酸痛　1220　鍼灸資生経　王執中_ページ_2.jpg")</f>
        <v>け/けん　肩背酸痛　1220　鍼灸資生経　王執中_ページ_2.jpg</v>
      </c>
    </row>
    <row r="1640" spans="1:2" x14ac:dyDescent="0.15">
      <c r="A1640" t="s">
        <v>1620</v>
      </c>
      <c r="B1640" t="str">
        <f>HYPERLINK("け/けん　肩背酸痛　1220　鍼灸資生経　王執中_ページ_3.jpg")</f>
        <v>け/けん　肩背酸痛　1220　鍼灸資生経　王執中_ページ_3.jpg</v>
      </c>
    </row>
    <row r="1641" spans="1:2" x14ac:dyDescent="0.15">
      <c r="A1641" t="s">
        <v>1621</v>
      </c>
      <c r="B1641" t="str">
        <f>HYPERLINK("け/けん　肩腫痛　1329　扁鵲神応鍼灸玉龍経　元・王国瑞.jpg")</f>
        <v>け/けん　肩腫痛　1329　扁鵲神応鍼灸玉龍経　元・王国瑞.jpg</v>
      </c>
    </row>
    <row r="1642" spans="1:2" x14ac:dyDescent="0.15">
      <c r="A1642" t="s">
        <v>1622</v>
      </c>
      <c r="B1642" t="str">
        <f>HYPERLINK("け/けん　肩膊臂痛　1912年（大正01）　鍼灸手引草　久木田七郎.jpg")</f>
        <v>け/けん　肩膊臂痛　1912年（大正01）　鍼灸手引草　久木田七郎.jpg</v>
      </c>
    </row>
    <row r="1643" spans="1:2" x14ac:dyDescent="0.15">
      <c r="A1643" t="s">
        <v>1623</v>
      </c>
      <c r="B1643" t="str">
        <f>HYPERLINK("け/けん　肩臂痛　1537　鍼灸聚英　明・高武.jpg")</f>
        <v>け/けん　肩臂痛　1537　鍼灸聚英　明・高武.jpg</v>
      </c>
    </row>
    <row r="1644" spans="1:2" x14ac:dyDescent="0.15">
      <c r="A1644" t="s">
        <v>1624</v>
      </c>
      <c r="B1644" t="str">
        <f>HYPERLINK("げ/げ　下り腹　1607　扁鵲新流鍼書　越齋寿閑.jpg")</f>
        <v>げ/げ　下り腹　1607　扁鵲新流鍼書　越齋寿閑.jpg</v>
      </c>
    </row>
    <row r="1645" spans="1:2" x14ac:dyDescent="0.15">
      <c r="A1645" t="s">
        <v>1625</v>
      </c>
      <c r="B1645" t="str">
        <f>HYPERLINK("げ/げ　下利　1813　名家灸選　浅井惟亨.jpg")</f>
        <v>げ/げ　下利　1813　名家灸選　浅井惟亨.jpg</v>
      </c>
    </row>
    <row r="1646" spans="1:2" x14ac:dyDescent="0.15">
      <c r="A1646" t="s">
        <v>1626</v>
      </c>
      <c r="B1646" t="str">
        <f>HYPERLINK("げ/げ　下死胎　1694　選鍼三要集　杉山和一.jpg")</f>
        <v>げ/げ　下死胎　1694　選鍼三要集　杉山和一.jpg</v>
      </c>
    </row>
    <row r="1647" spans="1:2" x14ac:dyDescent="0.15">
      <c r="A1647" t="s">
        <v>1627</v>
      </c>
      <c r="B1647" t="str">
        <f>HYPERLINK("げ/げ　下疳　一名陰蝕瘡　1686　鍼灸要法指南　岩田利斎.jpg")</f>
        <v>げ/げ　下疳　一名陰蝕瘡　1686　鍼灸要法指南　岩田利斎.jpg</v>
      </c>
    </row>
    <row r="1648" spans="1:2" x14ac:dyDescent="0.15">
      <c r="A1648" t="s">
        <v>1628</v>
      </c>
      <c r="B1648" t="str">
        <f>HYPERLINK("げ/げ　下疳瘡　成書年未詳　灸穴集　著者未詳.jpg")</f>
        <v>げ/げ　下疳瘡　成書年未詳　灸穴集　著者未詳.jpg</v>
      </c>
    </row>
    <row r="1649" spans="1:2" x14ac:dyDescent="0.15">
      <c r="A1649" t="s">
        <v>1629</v>
      </c>
      <c r="B1649" t="str">
        <f>HYPERLINK("げ/げ　下痢　1807　続名家灸選　平井庸信_ページ_1.jpg")</f>
        <v>げ/げ　下痢　1807　続名家灸選　平井庸信_ページ_1.jpg</v>
      </c>
    </row>
    <row r="1650" spans="1:2" x14ac:dyDescent="0.15">
      <c r="A1650" t="s">
        <v>1630</v>
      </c>
      <c r="B1650" t="str">
        <f>HYPERLINK("げ/げ　下痢　1807　続名家灸選　平井庸信_ページ_2.jpg")</f>
        <v>げ/げ　下痢　1807　続名家灸選　平井庸信_ページ_2.jpg</v>
      </c>
    </row>
    <row r="1651" spans="1:2" x14ac:dyDescent="0.15">
      <c r="A1651" t="s">
        <v>1631</v>
      </c>
      <c r="B1651" t="str">
        <f>HYPERLINK("げ/げ　下痢症　1912年（大正01）　鍼灸手引草　久木田七郎_ページ_1.jpg")</f>
        <v>げ/げ　下痢症　1912年（大正01）　鍼灸手引草　久木田七郎_ページ_1.jpg</v>
      </c>
    </row>
    <row r="1652" spans="1:2" x14ac:dyDescent="0.15">
      <c r="A1652" t="s">
        <v>1632</v>
      </c>
      <c r="B1652" t="str">
        <f>HYPERLINK("げ/げ　下痢症　1912年（大正01）　鍼灸手引草　久木田七郎_ページ_2.jpg")</f>
        <v>げ/げ　下痢症　1912年（大正01）　鍼灸手引草　久木田七郎_ページ_2.jpg</v>
      </c>
    </row>
    <row r="1653" spans="1:2" x14ac:dyDescent="0.15">
      <c r="A1653" t="s">
        <v>1633</v>
      </c>
      <c r="B1653" t="str">
        <f>HYPERLINK("げ/げ　下血 附 溺血　1698　鍼灸抜粋大成　岡本一抱.jpg")</f>
        <v>げ/げ　下血 附 溺血　1698　鍼灸抜粋大成　岡本一抱.jpg</v>
      </c>
    </row>
    <row r="1654" spans="1:2" x14ac:dyDescent="0.15">
      <c r="A1654" t="s">
        <v>1634</v>
      </c>
      <c r="B1654" t="str">
        <f>HYPERLINK("げ/げ　下血　1537　鍼灸聚英　明・高武.jpg")</f>
        <v>げ/げ　下血　1537　鍼灸聚英　明・高武.jpg</v>
      </c>
    </row>
    <row r="1655" spans="1:2" x14ac:dyDescent="0.15">
      <c r="A1655" t="s">
        <v>1635</v>
      </c>
      <c r="B1655" t="str">
        <f>HYPERLINK("げ/げ　下血　1607　扁鵲新流鍼書　越齋寿閑.jpg")</f>
        <v>げ/げ　下血　1607　扁鵲新流鍼書　越齋寿閑.jpg</v>
      </c>
    </row>
    <row r="1656" spans="1:2" x14ac:dyDescent="0.15">
      <c r="A1656" t="s">
        <v>1636</v>
      </c>
      <c r="B1656" t="str">
        <f>HYPERLINK("げ/げ　下血　1680　鍼灸抜萃　著者未詳.jpg")</f>
        <v>げ/げ　下血　1680　鍼灸抜萃　著者未詳.jpg</v>
      </c>
    </row>
    <row r="1657" spans="1:2" x14ac:dyDescent="0.15">
      <c r="A1657" t="s">
        <v>1637</v>
      </c>
      <c r="B1657" t="str">
        <f>HYPERLINK("げ/げ　下血　1693　鍼灸要歌集　安井昌玄_ページ_1.jpg")</f>
        <v>げ/げ　下血　1693　鍼灸要歌集　安井昌玄_ページ_1.jpg</v>
      </c>
    </row>
    <row r="1658" spans="1:2" x14ac:dyDescent="0.15">
      <c r="A1658" t="s">
        <v>1638</v>
      </c>
      <c r="B1658" t="str">
        <f>HYPERLINK("げ/げ　下血　1693　鍼灸要歌集　安井昌玄_ページ_2.jpg")</f>
        <v>げ/げ　下血　1693　鍼灸要歌集　安井昌玄_ページ_2.jpg</v>
      </c>
    </row>
    <row r="1659" spans="1:2" x14ac:dyDescent="0.15">
      <c r="A1659" t="s">
        <v>1639</v>
      </c>
      <c r="B1659" t="str">
        <f>HYPERLINK("げ/げ　下血　1696　広益鍼灸抜萃　著者未詳.jpg")</f>
        <v>げ/げ　下血　1696　広益鍼灸抜萃　著者未詳.jpg</v>
      </c>
    </row>
    <row r="1660" spans="1:2" x14ac:dyDescent="0.15">
      <c r="A1660" t="s">
        <v>1640</v>
      </c>
      <c r="B1660" t="str">
        <f>HYPERLINK("げ/げ　下血　1773　鍼灸手引草　大簡室主人_ページ_1.jpg")</f>
        <v>げ/げ　下血　1773　鍼灸手引草　大簡室主人_ページ_1.jpg</v>
      </c>
    </row>
    <row r="1661" spans="1:2" x14ac:dyDescent="0.15">
      <c r="A1661" t="s">
        <v>1641</v>
      </c>
      <c r="B1661" t="str">
        <f>HYPERLINK("げ/げ　下血　1773　鍼灸手引草　大簡室主人_ページ_2.jpg")</f>
        <v>げ/げ　下血　1773　鍼灸手引草　大簡室主人_ページ_2.jpg</v>
      </c>
    </row>
    <row r="1662" spans="1:2" x14ac:dyDescent="0.15">
      <c r="A1662" t="s">
        <v>1642</v>
      </c>
      <c r="B1662" t="str">
        <f>HYPERLINK("げ/げ　下血　ちをくだす　1718　鍼灸重宝記　本郷正豊.jpg")</f>
        <v>げ/げ　下血　ちをくだす　1718　鍼灸重宝記　本郷正豊.jpg</v>
      </c>
    </row>
    <row r="1663" spans="1:2" x14ac:dyDescent="0.15">
      <c r="A1663" t="s">
        <v>1643</v>
      </c>
      <c r="B1663" t="str">
        <f>HYPERLINK("げ/げ　下血　大便に血下る病の事　1694　療治之大概集　杉山和一.jpg")</f>
        <v>げ/げ　下血　大便に血下る病の事　1694　療治之大概集　杉山和一.jpg</v>
      </c>
    </row>
    <row r="1664" spans="1:2" x14ac:dyDescent="0.15">
      <c r="A1664" t="s">
        <v>1644</v>
      </c>
      <c r="B1664" t="str">
        <f>HYPERLINK("げ/げ　下血　成書年未詳　経穴図解　著者未詳.jpg")</f>
        <v>げ/げ　下血　成書年未詳　経穴図解　著者未詳.jpg</v>
      </c>
    </row>
    <row r="1665" spans="1:2" x14ac:dyDescent="0.15">
      <c r="A1665" t="s">
        <v>1645</v>
      </c>
      <c r="B1665" t="str">
        <f>HYPERLINK("げ/げ　下血　血のくだる人　1780　鍼灸極秘伝　木村太沖.jpg")</f>
        <v>げ/げ　下血　血のくだる人　1780　鍼灸極秘伝　木村太沖.jpg</v>
      </c>
    </row>
    <row r="1666" spans="1:2" x14ac:dyDescent="0.15">
      <c r="A1666" t="s">
        <v>1646</v>
      </c>
      <c r="B1666" t="str">
        <f>HYPERLINK("げ/げ　下血　附　溺血　1694　鍼灸そかい集　高津敬節.jpg")</f>
        <v>げ/げ　下血　附　溺血　1694　鍼灸そかい集　高津敬節.jpg</v>
      </c>
    </row>
    <row r="1667" spans="1:2" x14ac:dyDescent="0.15">
      <c r="A1667" t="s">
        <v>1647</v>
      </c>
      <c r="B1667" t="str">
        <f>HYPERLINK("げ/げ　内外下疳瘡　成書年未詳　灸穴集　著者未詳.jpg")</f>
        <v>げ/げ　内外下疳瘡　成書年未詳　灸穴集　著者未詳.jpg</v>
      </c>
    </row>
    <row r="1668" spans="1:2" x14ac:dyDescent="0.15">
      <c r="A1668" t="s">
        <v>1648</v>
      </c>
      <c r="B1668" t="str">
        <f>HYPERLINK("げ/げ　外科　1624　類経図翼　明・張介賓_ページ_01.jpg")</f>
        <v>げ/げ　外科　1624　類経図翼　明・張介賓_ページ_01.jpg</v>
      </c>
    </row>
    <row r="1669" spans="1:2" x14ac:dyDescent="0.15">
      <c r="A1669" t="s">
        <v>1649</v>
      </c>
      <c r="B1669" t="str">
        <f>HYPERLINK("げ/げ　外科　1624　類経図翼　明・張介賓_ページ_02.jpg")</f>
        <v>げ/げ　外科　1624　類経図翼　明・張介賓_ページ_02.jpg</v>
      </c>
    </row>
    <row r="1670" spans="1:2" x14ac:dyDescent="0.15">
      <c r="A1670" t="s">
        <v>1650</v>
      </c>
      <c r="B1670" t="str">
        <f>HYPERLINK("げ/げ　外科　1624　類経図翼　明・張介賓_ページ_03.jpg")</f>
        <v>げ/げ　外科　1624　類経図翼　明・張介賓_ページ_03.jpg</v>
      </c>
    </row>
    <row r="1671" spans="1:2" x14ac:dyDescent="0.15">
      <c r="A1671" t="s">
        <v>1651</v>
      </c>
      <c r="B1671" t="str">
        <f>HYPERLINK("げ/げ　外科　1624　類経図翼　明・張介賓_ページ_04.jpg")</f>
        <v>げ/げ　外科　1624　類経図翼　明・張介賓_ページ_04.jpg</v>
      </c>
    </row>
    <row r="1672" spans="1:2" x14ac:dyDescent="0.15">
      <c r="A1672" t="s">
        <v>1652</v>
      </c>
      <c r="B1672" t="str">
        <f>HYPERLINK("げ/げ　外科　1624　類経図翼　明・張介賓_ページ_05.jpg")</f>
        <v>げ/げ　外科　1624　類経図翼　明・張介賓_ページ_05.jpg</v>
      </c>
    </row>
    <row r="1673" spans="1:2" x14ac:dyDescent="0.15">
      <c r="A1673" t="s">
        <v>1653</v>
      </c>
      <c r="B1673" t="str">
        <f>HYPERLINK("げ/げ　外科　1624　類経図翼　明・張介賓_ページ_06.jpg")</f>
        <v>げ/げ　外科　1624　類経図翼　明・張介賓_ページ_06.jpg</v>
      </c>
    </row>
    <row r="1674" spans="1:2" x14ac:dyDescent="0.15">
      <c r="A1674" t="s">
        <v>1654</v>
      </c>
      <c r="B1674" t="str">
        <f>HYPERLINK("げ/げ　外科　1624　類経図翼　明・張介賓_ページ_07.jpg")</f>
        <v>げ/げ　外科　1624　類経図翼　明・張介賓_ページ_07.jpg</v>
      </c>
    </row>
    <row r="1675" spans="1:2" x14ac:dyDescent="0.15">
      <c r="A1675" t="s">
        <v>1655</v>
      </c>
      <c r="B1675" t="str">
        <f>HYPERLINK("げ/げ　外科　1624　類経図翼　明・張介賓_ページ_08.jpg")</f>
        <v>げ/げ　外科　1624　類経図翼　明・張介賓_ページ_08.jpg</v>
      </c>
    </row>
    <row r="1676" spans="1:2" x14ac:dyDescent="0.15">
      <c r="A1676" t="s">
        <v>1656</v>
      </c>
      <c r="B1676" t="str">
        <f>HYPERLINK("げ/げ　外科　1624　類経図翼　明・張介賓_ページ_09.jpg")</f>
        <v>げ/げ　外科　1624　類経図翼　明・張介賓_ページ_09.jpg</v>
      </c>
    </row>
    <row r="1677" spans="1:2" x14ac:dyDescent="0.15">
      <c r="A1677" t="s">
        <v>1657</v>
      </c>
      <c r="B1677" t="str">
        <f>HYPERLINK("げ/げ　外科　1624　類経図翼　明・張介賓_ページ_10.jpg")</f>
        <v>げ/げ　外科　1624　類経図翼　明・張介賓_ページ_10.jpg</v>
      </c>
    </row>
    <row r="1678" spans="1:2" x14ac:dyDescent="0.15">
      <c r="A1678" t="s">
        <v>1658</v>
      </c>
      <c r="B1678" t="str">
        <f>HYPERLINK("げ/げ　外科　1624　類経図翼　明・張介賓_ページ_11.jpg")</f>
        <v>げ/げ　外科　1624　類経図翼　明・張介賓_ページ_11.jpg</v>
      </c>
    </row>
    <row r="1679" spans="1:2" x14ac:dyDescent="0.15">
      <c r="A1679" t="s">
        <v>1659</v>
      </c>
      <c r="B1679" t="str">
        <f>HYPERLINK("げ/げ　外科　1624　類経図翼　明・張介賓_ページ_12.jpg")</f>
        <v>げ/げ　外科　1624　類経図翼　明・張介賓_ページ_12.jpg</v>
      </c>
    </row>
    <row r="1680" spans="1:2" x14ac:dyDescent="0.15">
      <c r="A1680" t="s">
        <v>1660</v>
      </c>
      <c r="B1680" t="str">
        <f>HYPERLINK("げ/げ　外科　1624　類経図翼　明・張介賓_ページ_13.jpg")</f>
        <v>げ/げ　外科　1624　類経図翼　明・張介賓_ページ_13.jpg</v>
      </c>
    </row>
    <row r="1681" spans="1:2" x14ac:dyDescent="0.15">
      <c r="A1681" t="s">
        <v>1661</v>
      </c>
      <c r="B1681" t="str">
        <f>HYPERLINK("げ/げ　外科　1761　挨穴捷径　杉原敦_ページ_1.jpg")</f>
        <v>げ/げ　外科　1761　挨穴捷径　杉原敦_ページ_1.jpg</v>
      </c>
    </row>
    <row r="1682" spans="1:2" x14ac:dyDescent="0.15">
      <c r="A1682" t="s">
        <v>1662</v>
      </c>
      <c r="B1682" t="str">
        <f>HYPERLINK("げ/げ　外科　1761　挨穴捷径　杉原敦_ページ_2.jpg")</f>
        <v>げ/げ　外科　1761　挨穴捷径　杉原敦_ページ_2.jpg</v>
      </c>
    </row>
    <row r="1683" spans="1:2" x14ac:dyDescent="0.15">
      <c r="A1683" t="s">
        <v>1663</v>
      </c>
      <c r="B1683" t="str">
        <f>HYPERLINK("げ/げ　外科　1761　挨穴捷径　杉原敦_ページ_3.jpg")</f>
        <v>げ/げ　外科　1761　挨穴捷径　杉原敦_ページ_3.jpg</v>
      </c>
    </row>
    <row r="1684" spans="1:2" x14ac:dyDescent="0.15">
      <c r="A1684" t="s">
        <v>1664</v>
      </c>
      <c r="B1684" t="str">
        <f>HYPERLINK("げ/げ　外科　1761　挨穴捷径　杉原敦_ページ_4.jpg")</f>
        <v>げ/げ　外科　1761　挨穴捷径　杉原敦_ページ_4.jpg</v>
      </c>
    </row>
    <row r="1685" spans="1:2" x14ac:dyDescent="0.15">
      <c r="A1685" t="s">
        <v>1665</v>
      </c>
      <c r="B1685" t="str">
        <f>HYPERLINK("げ/げ　外科　1761　挨穴捷径　杉原敦_ページ_5.jpg")</f>
        <v>げ/げ　外科　1761　挨穴捷径　杉原敦_ページ_5.jpg</v>
      </c>
    </row>
    <row r="1686" spans="1:2" x14ac:dyDescent="0.15">
      <c r="A1686" t="s">
        <v>1666</v>
      </c>
      <c r="B1686" t="str">
        <f>HYPERLINK("げ/げ　解顱（げろ・かいろ）　はちひらく　腫水腫　1887（明治20）　鍼灸備要　青山道醇_ページ_1.jpg")</f>
        <v>げ/げ　解顱（げろ・かいろ）　はちひらく　腫水腫　1887（明治20）　鍼灸備要　青山道醇_ページ_1.jpg</v>
      </c>
    </row>
    <row r="1687" spans="1:2" x14ac:dyDescent="0.15">
      <c r="A1687" t="s">
        <v>1667</v>
      </c>
      <c r="B1687" t="str">
        <f>HYPERLINK("げ/げ　解顱（げろ・かいろ）　はちひらく　腫水腫　1887（明治20）　鍼灸備要　青山道醇_ページ_2.jpg")</f>
        <v>げ/げ　解顱（げろ・かいろ）　はちひらく　腫水腫　1887（明治20）　鍼灸備要　青山道醇_ページ_2.jpg</v>
      </c>
    </row>
    <row r="1688" spans="1:2" x14ac:dyDescent="0.15">
      <c r="A1688" t="s">
        <v>1668</v>
      </c>
      <c r="B1688" t="str">
        <f>HYPERLINK("げ/げつ　月事　1220　鍼灸資生経　王執中_ページ_1.jpg")</f>
        <v>げ/げつ　月事　1220　鍼灸資生経　王執中_ページ_1.jpg</v>
      </c>
    </row>
    <row r="1689" spans="1:2" x14ac:dyDescent="0.15">
      <c r="A1689" t="s">
        <v>1669</v>
      </c>
      <c r="B1689" t="str">
        <f>HYPERLINK("げ/げつ　月事　1220　鍼灸資生経　王執中_ページ_2.jpg")</f>
        <v>げ/げつ　月事　1220　鍼灸資生経　王執中_ページ_2.jpg</v>
      </c>
    </row>
    <row r="1690" spans="1:2" x14ac:dyDescent="0.15">
      <c r="A1690" t="s">
        <v>1670</v>
      </c>
      <c r="B1690" t="str">
        <f>HYPERLINK("げ/げつ　月信痛　つぎむし、又、いんばらむし　月経困難　1887（明治20）　鍼灸備要　青山道醇.jpg")</f>
        <v>げ/げつ　月信痛　つぎむし、又、いんばらむし　月経困難　1887（明治20）　鍼灸備要　青山道醇.jpg</v>
      </c>
    </row>
    <row r="1691" spans="1:2" x14ac:dyDescent="0.15">
      <c r="A1691" t="s">
        <v>1671</v>
      </c>
      <c r="B1691" t="str">
        <f>HYPERLINK("げ/げつ　月水とどこおり不同なる事　1607　扁鵲新流鍼書　越齋寿閑.jpg")</f>
        <v>げ/げつ　月水とどこおり不同なる事　1607　扁鵲新流鍼書　越齋寿閑.jpg</v>
      </c>
    </row>
    <row r="1692" spans="1:2" x14ac:dyDescent="0.15">
      <c r="A1692" t="s">
        <v>1672</v>
      </c>
      <c r="B1692" t="str">
        <f>HYPERLINK("げ/げつ　月水不通　めぐりとまる　月経閉止　1887（明治20）　鍼灸備要　青山道醇.jpg")</f>
        <v>げ/げつ　月水不通　めぐりとまる　月経閉止　1887（明治20）　鍼灸備要　青山道醇.jpg</v>
      </c>
    </row>
    <row r="1693" spans="1:2" x14ac:dyDescent="0.15">
      <c r="A1693" t="s">
        <v>1673</v>
      </c>
      <c r="B1693" t="str">
        <f>HYPERLINK("げ/げつ　月水日を連ねて多き事　1607　扁鵲新流鍼書　越齋寿閑_ページ_1.jpg")</f>
        <v>げ/げつ　月水日を連ねて多き事　1607　扁鵲新流鍼書　越齋寿閑_ページ_1.jpg</v>
      </c>
    </row>
    <row r="1694" spans="1:2" x14ac:dyDescent="0.15">
      <c r="A1694" t="s">
        <v>1674</v>
      </c>
      <c r="B1694" t="str">
        <f>HYPERLINK("げ/げつ　月水日を連ねて多き事　1607　扁鵲新流鍼書　越齋寿閑_ページ_2.jpg")</f>
        <v>げ/げつ　月水日を連ねて多き事　1607　扁鵲新流鍼書　越齋寿閑_ページ_2.jpg</v>
      </c>
    </row>
    <row r="1695" spans="1:2" x14ac:dyDescent="0.15">
      <c r="A1695" t="s">
        <v>1675</v>
      </c>
      <c r="B1695" t="str">
        <f>HYPERLINK("げ/げつ　月水過多　めぐりのことにつよきもの　1887（明治20）　鍼灸備要　青山道醇.jpg")</f>
        <v>げ/げつ　月水過多　めぐりのことにつよきもの　1887（明治20）　鍼灸備要　青山道醇.jpg</v>
      </c>
    </row>
    <row r="1696" spans="1:2" x14ac:dyDescent="0.15">
      <c r="A1696" t="s">
        <v>1676</v>
      </c>
      <c r="B1696" t="str">
        <f>HYPERLINK("げ/げつ　月経　1669　鍼灸枢要　山本玄通_ページ_1.jpg")</f>
        <v>げ/げつ　月経　1669　鍼灸枢要　山本玄通_ページ_1.jpg</v>
      </c>
    </row>
    <row r="1697" spans="1:2" x14ac:dyDescent="0.15">
      <c r="A1697" t="s">
        <v>1677</v>
      </c>
      <c r="B1697" t="str">
        <f>HYPERLINK("げ/げつ　月経　1669　鍼灸枢要　山本玄通_ページ_2.jpg")</f>
        <v>げ/げつ　月経　1669　鍼灸枢要　山本玄通_ページ_2.jpg</v>
      </c>
    </row>
    <row r="1698" spans="1:2" x14ac:dyDescent="0.15">
      <c r="A1698" t="s">
        <v>1678</v>
      </c>
      <c r="B1698" t="str">
        <f>HYPERLINK("げ/げつ　月経　1669　鍼灸枢要　山本玄通_ページ_3.jpg")</f>
        <v>げ/げつ　月経　1669　鍼灸枢要　山本玄通_ページ_3.jpg</v>
      </c>
    </row>
    <row r="1699" spans="1:2" x14ac:dyDescent="0.15">
      <c r="A1699" t="s">
        <v>1679</v>
      </c>
      <c r="B1699" t="str">
        <f>HYPERLINK("げ/げつ　月経　1669　鍼灸枢要　山本玄通_ページ_4.jpg")</f>
        <v>げ/げつ　月経　1669　鍼灸枢要　山本玄通_ページ_4.jpg</v>
      </c>
    </row>
    <row r="1700" spans="1:2" x14ac:dyDescent="0.15">
      <c r="A1700" t="s">
        <v>1680</v>
      </c>
      <c r="B1700" t="str">
        <f>HYPERLINK("げ/げつ　月経　1669　鍼灸枢要　山本玄通_ページ_5.jpg")</f>
        <v>げ/げつ　月経　1669　鍼灸枢要　山本玄通_ページ_5.jpg</v>
      </c>
    </row>
    <row r="1701" spans="1:2" x14ac:dyDescent="0.15">
      <c r="A1701" t="s">
        <v>1681</v>
      </c>
      <c r="B1701" t="str">
        <f>HYPERLINK("げ/げつ　月経　1669　鍼灸枢要　山本玄通_ページ_6.jpg")</f>
        <v>げ/げつ　月経　1669　鍼灸枢要　山本玄通_ページ_6.jpg</v>
      </c>
    </row>
    <row r="1702" spans="1:2" x14ac:dyDescent="0.15">
      <c r="A1702" t="s">
        <v>1682</v>
      </c>
      <c r="B1702" t="str">
        <f>HYPERLINK("げ/げつ　月経　1794　杉山流鍼術　島浦和田一_ページ_1.jpg")</f>
        <v>げ/げつ　月経　1794　杉山流鍼術　島浦和田一_ページ_1.jpg</v>
      </c>
    </row>
    <row r="1703" spans="1:2" x14ac:dyDescent="0.15">
      <c r="A1703" t="s">
        <v>1683</v>
      </c>
      <c r="B1703" t="str">
        <f>HYPERLINK("げ/げつ　月経　1794　杉山流鍼術　島浦和田一_ページ_2.jpg")</f>
        <v>げ/げつ　月経　1794　杉山流鍼術　島浦和田一_ページ_2.jpg</v>
      </c>
    </row>
    <row r="1704" spans="1:2" x14ac:dyDescent="0.15">
      <c r="A1704" t="s">
        <v>1684</v>
      </c>
      <c r="B1704" t="str">
        <f>HYPERLINK("げ/げつ　月経　1800　鍼灸備要　小坂元祐_ページ_1.jpg")</f>
        <v>げ/げつ　月経　1800　鍼灸備要　小坂元祐_ページ_1.jpg</v>
      </c>
    </row>
    <row r="1705" spans="1:2" x14ac:dyDescent="0.15">
      <c r="A1705" t="s">
        <v>1685</v>
      </c>
      <c r="B1705" t="str">
        <f>HYPERLINK("げ/げつ　月経　1800　鍼灸備要　小坂元祐_ページ_2.jpg")</f>
        <v>げ/げつ　月経　1800　鍼灸備要　小坂元祐_ページ_2.jpg</v>
      </c>
    </row>
    <row r="1706" spans="1:2" x14ac:dyDescent="0.15">
      <c r="A1706" t="s">
        <v>1686</v>
      </c>
      <c r="B1706" t="str">
        <f>HYPERLINK("げ/げつ　月経　1800　鍼灸備要　小坂元祐_ページ_3.jpg")</f>
        <v>げ/げつ　月経　1800　鍼灸備要　小坂元祐_ページ_3.jpg</v>
      </c>
    </row>
    <row r="1707" spans="1:2" x14ac:dyDescent="0.15">
      <c r="A1707" t="s">
        <v>1687</v>
      </c>
      <c r="B1707" t="str">
        <f>HYPERLINK("げ/げつ　月経　1800　鍼灸備要　小坂元祐_ページ_4.jpg")</f>
        <v>げ/げつ　月経　1800　鍼灸備要　小坂元祐_ページ_4.jpg</v>
      </c>
    </row>
    <row r="1708" spans="1:2" x14ac:dyDescent="0.15">
      <c r="A1708" t="s">
        <v>1688</v>
      </c>
      <c r="B1708" t="str">
        <f>HYPERLINK("げ/げつ　月経不順　つきのものふめぐり　月経変調　1887（明治20）　鍼灸備要　青山道醇.jpg")</f>
        <v>げ/げつ　月経不順　つきのものふめぐり　月経変調　1887（明治20）　鍼灸備要　青山道醇.jpg</v>
      </c>
    </row>
    <row r="1709" spans="1:2" x14ac:dyDescent="0.15">
      <c r="A1709" t="s">
        <v>1689</v>
      </c>
      <c r="B1709" t="str">
        <f>HYPERLINK("げ/げつ　月腫之針穴　1613　古今集鍼法　長生庵了味か.jpg")</f>
        <v>げ/げつ　月腫之針穴　1613　古今集鍼法　長生庵了味か.jpg</v>
      </c>
    </row>
    <row r="1710" spans="1:2" x14ac:dyDescent="0.15">
      <c r="A1710" t="s">
        <v>1690</v>
      </c>
      <c r="B1710" t="str">
        <f>HYPERLINK("げ/げつ　月蝕瘡　1686　鍼灸要法指南　岩田利斎.jpg")</f>
        <v>げ/げつ　月蝕瘡　1686　鍼灸要法指南　岩田利斎.jpg</v>
      </c>
    </row>
    <row r="1711" spans="1:2" x14ac:dyDescent="0.15">
      <c r="A1711" t="s">
        <v>1691</v>
      </c>
      <c r="B1711" t="str">
        <f>HYPERLINK("げ/げん　厥逆　気急　眩暈　1758　灸ぜつ塩土伝　三宅意安_ページ_1.jpg")</f>
        <v>げ/げん　厥逆　気急　眩暈　1758　灸ぜつ塩土伝　三宅意安_ページ_1.jpg</v>
      </c>
    </row>
    <row r="1712" spans="1:2" x14ac:dyDescent="0.15">
      <c r="A1712" t="s">
        <v>1692</v>
      </c>
      <c r="B1712" t="str">
        <f>HYPERLINK("げ/げん　厥逆　気急　眩暈　1758　灸ぜつ塩土伝　三宅意安_ページ_2.jpg")</f>
        <v>げ/げん　厥逆　気急　眩暈　1758　灸ぜつ塩土伝　三宅意安_ページ_2.jpg</v>
      </c>
    </row>
    <row r="1713" spans="1:2" x14ac:dyDescent="0.15">
      <c r="A1713" t="s">
        <v>1693</v>
      </c>
      <c r="B1713" t="str">
        <f>HYPERLINK("げ/げん　厥逆　気急　眩暈　1758　灸ぜつ塩土伝　三宅意安_ページ_3.jpg")</f>
        <v>げ/げん　厥逆　気急　眩暈　1758　灸ぜつ塩土伝　三宅意安_ページ_3.jpg</v>
      </c>
    </row>
    <row r="1714" spans="1:2" x14ac:dyDescent="0.15">
      <c r="A1714" t="s">
        <v>1694</v>
      </c>
      <c r="B1714" t="str">
        <f>HYPERLINK("げ/げん　痃癖(げんぺき)　1607　扁鵲新流鍼書　越齋寿閑_ページ_1.jpg")</f>
        <v>げ/げん　痃癖(げんぺき)　1607　扁鵲新流鍼書　越齋寿閑_ページ_1.jpg</v>
      </c>
    </row>
    <row r="1715" spans="1:2" x14ac:dyDescent="0.15">
      <c r="A1715" t="s">
        <v>1695</v>
      </c>
      <c r="B1715" t="str">
        <f>HYPERLINK("げ/げん　痃癖(げんぺき)　1607　扁鵲新流鍼書　越齋寿閑_ページ_2.jpg")</f>
        <v>げ/げん　痃癖(げんぺき)　1607　扁鵲新流鍼書　越齋寿閑_ページ_2.jpg</v>
      </c>
    </row>
    <row r="1716" spans="1:2" x14ac:dyDescent="0.15">
      <c r="A1716" t="s">
        <v>1696</v>
      </c>
      <c r="B1716" t="str">
        <f>HYPERLINK("げ/げん　眩暈　1607　扁鵲新流鍼書　越齋寿閑_ページ_1.jpg")</f>
        <v>げ/げん　眩暈　1607　扁鵲新流鍼書　越齋寿閑_ページ_1.jpg</v>
      </c>
    </row>
    <row r="1717" spans="1:2" x14ac:dyDescent="0.15">
      <c r="A1717" t="s">
        <v>1697</v>
      </c>
      <c r="B1717" t="str">
        <f>HYPERLINK("げ/げん　眩暈　1607　扁鵲新流鍼書　越齋寿閑_ページ_2.jpg")</f>
        <v>げ/げん　眩暈　1607　扁鵲新流鍼書　越齋寿閑_ページ_2.jpg</v>
      </c>
    </row>
    <row r="1718" spans="1:2" x14ac:dyDescent="0.15">
      <c r="A1718" t="s">
        <v>1698</v>
      </c>
      <c r="B1718" t="str">
        <f>HYPERLINK("げ/げん　眩暈　1613　古今集鍼法　長生庵了味か.jpg")</f>
        <v>げ/げん　眩暈　1613　古今集鍼法　長生庵了味か.jpg</v>
      </c>
    </row>
    <row r="1719" spans="1:2" x14ac:dyDescent="0.15">
      <c r="A1719" t="s">
        <v>1699</v>
      </c>
      <c r="B1719" t="str">
        <f>HYPERLINK("げ/げん　眩暈　1669　鍼灸枢要　山本玄通_ページ_1.jpg")</f>
        <v>げ/げん　眩暈　1669　鍼灸枢要　山本玄通_ページ_1.jpg</v>
      </c>
    </row>
    <row r="1720" spans="1:2" x14ac:dyDescent="0.15">
      <c r="A1720" t="s">
        <v>1700</v>
      </c>
      <c r="B1720" t="str">
        <f>HYPERLINK("げ/げん　眩暈　1669　鍼灸枢要　山本玄通_ページ_2.jpg")</f>
        <v>げ/げん　眩暈　1669　鍼灸枢要　山本玄通_ページ_2.jpg</v>
      </c>
    </row>
    <row r="1721" spans="1:2" x14ac:dyDescent="0.15">
      <c r="A1721" t="s">
        <v>1701</v>
      </c>
      <c r="B1721" t="str">
        <f>HYPERLINK("げ/げん　眩暈　1669　鍼灸枢要　山本玄通_ページ_3.jpg")</f>
        <v>げ/げん　眩暈　1669　鍼灸枢要　山本玄通_ページ_3.jpg</v>
      </c>
    </row>
    <row r="1722" spans="1:2" x14ac:dyDescent="0.15">
      <c r="A1722" t="s">
        <v>1702</v>
      </c>
      <c r="B1722" t="str">
        <f>HYPERLINK("げ/げん　眩暈　1669　鍼灸枢要　山本玄通_ページ_4.jpg")</f>
        <v>げ/げん　眩暈　1669　鍼灸枢要　山本玄通_ページ_4.jpg</v>
      </c>
    </row>
    <row r="1723" spans="1:2" x14ac:dyDescent="0.15">
      <c r="A1723" t="s">
        <v>1703</v>
      </c>
      <c r="B1723" t="str">
        <f>HYPERLINK("げ/げん　眩暈　1679　鍼法奇貨　渡辺東伯_ページ_1.jpg")</f>
        <v>げ/げん　眩暈　1679　鍼法奇貨　渡辺東伯_ページ_1.jpg</v>
      </c>
    </row>
    <row r="1724" spans="1:2" x14ac:dyDescent="0.15">
      <c r="A1724" t="s">
        <v>1704</v>
      </c>
      <c r="B1724" t="str">
        <f>HYPERLINK("げ/げん　眩暈　1679　鍼法奇貨　渡辺東伯_ページ_2.jpg")</f>
        <v>げ/げん　眩暈　1679　鍼法奇貨　渡辺東伯_ページ_2.jpg</v>
      </c>
    </row>
    <row r="1725" spans="1:2" x14ac:dyDescent="0.15">
      <c r="A1725" t="s">
        <v>1705</v>
      </c>
      <c r="B1725" t="str">
        <f>HYPERLINK("げ/げん　眩暈　1680　鍼灸抜萃　著者未詳.jpg")</f>
        <v>げ/げん　眩暈　1680　鍼灸抜萃　著者未詳.jpg</v>
      </c>
    </row>
    <row r="1726" spans="1:2" x14ac:dyDescent="0.15">
      <c r="A1726" t="s">
        <v>1706</v>
      </c>
      <c r="B1726" t="str">
        <f>HYPERLINK("げ/げん　眩暈　1686　めまい　鍼灸要法指南　岩田利斎.jpg")</f>
        <v>げ/げん　眩暈　1686　めまい　鍼灸要法指南　岩田利斎.jpg</v>
      </c>
    </row>
    <row r="1727" spans="1:2" x14ac:dyDescent="0.15">
      <c r="A1727" t="s">
        <v>1707</v>
      </c>
      <c r="B1727" t="str">
        <f>HYPERLINK("げ/げん　眩暈　1693　鍼灸要歌集　安井昌玄.jpg")</f>
        <v>げ/げん　眩暈　1693　鍼灸要歌集　安井昌玄.jpg</v>
      </c>
    </row>
    <row r="1728" spans="1:2" x14ac:dyDescent="0.15">
      <c r="A1728" t="s">
        <v>1708</v>
      </c>
      <c r="B1728" t="str">
        <f>HYPERLINK("げ/げん　眩暈　1694　目のまふ事　療治之大概集　杉山和一.jpg")</f>
        <v>げ/げん　眩暈　1694　目のまふ事　療治之大概集　杉山和一.jpg</v>
      </c>
    </row>
    <row r="1729" spans="1:2" x14ac:dyDescent="0.15">
      <c r="A1729" t="s">
        <v>1709</v>
      </c>
      <c r="B1729" t="str">
        <f>HYPERLINK("げ/げん　眩暈　1694　鍼灸そかい集　高津敬節.jpg")</f>
        <v>げ/げん　眩暈　1694　鍼灸そかい集　高津敬節.jpg</v>
      </c>
    </row>
    <row r="1730" spans="1:2" x14ac:dyDescent="0.15">
      <c r="A1730" t="s">
        <v>1710</v>
      </c>
      <c r="B1730" t="str">
        <f>HYPERLINK("げ/げん　眩暈　1696　広益鍼灸抜萃　著者未詳.jpg")</f>
        <v>げ/げん　眩暈　1696　広益鍼灸抜萃　著者未詳.jpg</v>
      </c>
    </row>
    <row r="1731" spans="1:2" x14ac:dyDescent="0.15">
      <c r="A1731" t="s">
        <v>1711</v>
      </c>
      <c r="B1731" t="str">
        <f>HYPERLINK("げ/げん　眩暈　1698　鍼灸抜粋大成　岡本一抱.jpg")</f>
        <v>げ/げん　眩暈　1698　鍼灸抜粋大成　岡本一抱.jpg</v>
      </c>
    </row>
    <row r="1732" spans="1:2" x14ac:dyDescent="0.15">
      <c r="A1732" t="s">
        <v>1712</v>
      </c>
      <c r="B1732" t="str">
        <f>HYPERLINK("げ/げん　眩暈　1718　かしらくるめき、めくるめく　鍼灸重宝記　本郷正豊.jpg")</f>
        <v>げ/げん　眩暈　1718　かしらくるめき、めくるめく　鍼灸重宝記　本郷正豊.jpg</v>
      </c>
    </row>
    <row r="1733" spans="1:2" x14ac:dyDescent="0.15">
      <c r="A1733" t="s">
        <v>1713</v>
      </c>
      <c r="B1733" t="str">
        <f>HYPERLINK("げ/げん　眩暈　1765　鍼法弁惑　藤井秀孟_ページ_1.jpg")</f>
        <v>げ/げん　眩暈　1765　鍼法弁惑　藤井秀孟_ページ_1.jpg</v>
      </c>
    </row>
    <row r="1734" spans="1:2" x14ac:dyDescent="0.15">
      <c r="A1734" t="s">
        <v>1714</v>
      </c>
      <c r="B1734" t="str">
        <f>HYPERLINK("げ/げん　眩暈　1765　鍼法弁惑　藤井秀孟_ページ_2.jpg")</f>
        <v>げ/げん　眩暈　1765　鍼法弁惑　藤井秀孟_ページ_2.jpg</v>
      </c>
    </row>
    <row r="1735" spans="1:2" x14ac:dyDescent="0.15">
      <c r="A1735" t="s">
        <v>1715</v>
      </c>
      <c r="B1735" t="str">
        <f>HYPERLINK("げ/げん　眩暈　1767　鍼灸則　菅沼周桂_ページ_1.jpg")</f>
        <v>げ/げん　眩暈　1767　鍼灸則　菅沼周桂_ページ_1.jpg</v>
      </c>
    </row>
    <row r="1736" spans="1:2" x14ac:dyDescent="0.15">
      <c r="A1736" t="s">
        <v>1716</v>
      </c>
      <c r="B1736" t="str">
        <f>HYPERLINK("げ/げん　眩暈　1767　鍼灸則　菅沼周桂_ページ_2.jpg")</f>
        <v>げ/げん　眩暈　1767　鍼灸則　菅沼周桂_ページ_2.jpg</v>
      </c>
    </row>
    <row r="1737" spans="1:2" x14ac:dyDescent="0.15">
      <c r="A1737" t="s">
        <v>1717</v>
      </c>
      <c r="B1737" t="str">
        <f>HYPERLINK("げ/げん　眩暈　1773　鍼灸手引草　大簡室主人_ページ_1.jpg")</f>
        <v>げ/げん　眩暈　1773　鍼灸手引草　大簡室主人_ページ_1.jpg</v>
      </c>
    </row>
    <row r="1738" spans="1:2" x14ac:dyDescent="0.15">
      <c r="A1738" t="s">
        <v>1718</v>
      </c>
      <c r="B1738" t="str">
        <f>HYPERLINK("げ/げん　眩暈　1773　鍼灸手引草　大簡室主人_ページ_2.jpg")</f>
        <v>げ/げん　眩暈　1773　鍼灸手引草　大簡室主人_ページ_2.jpg</v>
      </c>
    </row>
    <row r="1739" spans="1:2" x14ac:dyDescent="0.15">
      <c r="A1739" t="s">
        <v>1719</v>
      </c>
      <c r="B1739" t="str">
        <f>HYPERLINK("げ/げん　眩暈　1785　鍼書　本城義軒_ページ_1.jpg")</f>
        <v>げ/げん　眩暈　1785　鍼書　本城義軒_ページ_1.jpg</v>
      </c>
    </row>
    <row r="1740" spans="1:2" x14ac:dyDescent="0.15">
      <c r="A1740" t="s">
        <v>1720</v>
      </c>
      <c r="B1740" t="str">
        <f>HYPERLINK("げ/げん　眩暈　1785　鍼書　本城義軒_ページ_2.jpg")</f>
        <v>げ/げん　眩暈　1785　鍼書　本城義軒_ページ_2.jpg</v>
      </c>
    </row>
    <row r="1741" spans="1:2" x14ac:dyDescent="0.15">
      <c r="A1741" t="s">
        <v>1721</v>
      </c>
      <c r="B1741" t="str">
        <f>HYPERLINK("げ/げん　眩暈　1792　鍼法要集　源長起_ページ_1.jpg")</f>
        <v>げ/げん　眩暈　1792　鍼法要集　源長起_ページ_1.jpg</v>
      </c>
    </row>
    <row r="1742" spans="1:2" x14ac:dyDescent="0.15">
      <c r="A1742" t="s">
        <v>1722</v>
      </c>
      <c r="B1742" t="str">
        <f>HYPERLINK("げ/げん　眩暈　1792　鍼法要集　源長起_ページ_2.jpg")</f>
        <v>げ/げん　眩暈　1792　鍼法要集　源長起_ページ_2.jpg</v>
      </c>
    </row>
    <row r="1743" spans="1:2" x14ac:dyDescent="0.15">
      <c r="A1743" t="s">
        <v>1723</v>
      </c>
      <c r="B1743" t="str">
        <f>HYPERLINK("げ/げん　眩暈　1794　杉山流鍼術　島浦和田一_ページ_1.jpg")</f>
        <v>げ/げん　眩暈　1794　杉山流鍼術　島浦和田一_ページ_1.jpg</v>
      </c>
    </row>
    <row r="1744" spans="1:2" x14ac:dyDescent="0.15">
      <c r="A1744" t="s">
        <v>1724</v>
      </c>
      <c r="B1744" t="str">
        <f>HYPERLINK("げ/げん　眩暈　1794　杉山流鍼術　島浦和田一_ページ_2.jpg")</f>
        <v>げ/げん　眩暈　1794　杉山流鍼術　島浦和田一_ページ_2.jpg</v>
      </c>
    </row>
    <row r="1745" spans="1:2" x14ac:dyDescent="0.15">
      <c r="A1745" t="s">
        <v>1725</v>
      </c>
      <c r="B1745" t="str">
        <f>HYPERLINK("げ/げん　眩暈　1800　岡田流鍼術書　岡田見龍_ページ_1.jpg")</f>
        <v>げ/げん　眩暈　1800　岡田流鍼術書　岡田見龍_ページ_1.jpg</v>
      </c>
    </row>
    <row r="1746" spans="1:2" x14ac:dyDescent="0.15">
      <c r="A1746" t="s">
        <v>1726</v>
      </c>
      <c r="B1746" t="str">
        <f>HYPERLINK("げ/げん　眩暈　1800　岡田流鍼術書　岡田見龍_ページ_2.jpg")</f>
        <v>げ/げん　眩暈　1800　岡田流鍼術書　岡田見龍_ページ_2.jpg</v>
      </c>
    </row>
    <row r="1747" spans="1:2" x14ac:dyDescent="0.15">
      <c r="A1747" t="s">
        <v>1727</v>
      </c>
      <c r="B1747" t="str">
        <f>HYPERLINK("げ/げん　眩暈　1800　鍼灸備要　小坂元祐_ページ_1.jpg")</f>
        <v>げ/げん　眩暈　1800　鍼灸備要　小坂元祐_ページ_1.jpg</v>
      </c>
    </row>
    <row r="1748" spans="1:2" x14ac:dyDescent="0.15">
      <c r="A1748" t="s">
        <v>1728</v>
      </c>
      <c r="B1748" t="str">
        <f>HYPERLINK("げ/げん　眩暈　1800　鍼灸備要　小坂元祐_ページ_2.jpg")</f>
        <v>げ/げん　眩暈　1800　鍼灸備要　小坂元祐_ページ_2.jpg</v>
      </c>
    </row>
    <row r="1749" spans="1:2" x14ac:dyDescent="0.15">
      <c r="A1749" t="s">
        <v>1729</v>
      </c>
      <c r="B1749" t="str">
        <f>HYPERLINK("げ/げん　眩暈　成書年未詳　灸穴集　著者未詳_ページ_1.jpg")</f>
        <v>げ/げん　眩暈　成書年未詳　灸穴集　著者未詳_ページ_1.jpg</v>
      </c>
    </row>
    <row r="1750" spans="1:2" x14ac:dyDescent="0.15">
      <c r="A1750" t="s">
        <v>1730</v>
      </c>
      <c r="B1750" t="str">
        <f>HYPERLINK("げ/げん　眩暈　成書年未詳　灸穴集　著者未詳_ページ_2.jpg")</f>
        <v>げ/げん　眩暈　成書年未詳　灸穴集　著者未詳_ページ_2.jpg</v>
      </c>
    </row>
    <row r="1751" spans="1:2" x14ac:dyDescent="0.15">
      <c r="A1751" t="s">
        <v>1731</v>
      </c>
      <c r="B1751" t="str">
        <f>HYPERLINK("げ/げん　眩暈　成書年未詳　灸穴集　著者未詳_ページ_3.jpg")</f>
        <v>げ/げん　眩暈　成書年未詳　灸穴集　著者未詳_ページ_3.jpg</v>
      </c>
    </row>
    <row r="1752" spans="1:2" x14ac:dyDescent="0.15">
      <c r="A1752" t="s">
        <v>1732</v>
      </c>
      <c r="B1752" t="str">
        <f>HYPERLINK("げ/げん　眩暈　成書年未詳　灸穴集　著者未詳_ページ_4.jpg")</f>
        <v>げ/げん　眩暈　成書年未詳　灸穴集　著者未詳_ページ_4.jpg</v>
      </c>
    </row>
    <row r="1753" spans="1:2" x14ac:dyDescent="0.15">
      <c r="A1753" t="s">
        <v>1733</v>
      </c>
      <c r="B1753" t="str">
        <f>HYPERLINK("げ/げん　眩暈　成書年未詳　経穴図解　著者未詳.jpg")</f>
        <v>げ/げん　眩暈　成書年未詳　経穴図解　著者未詳.jpg</v>
      </c>
    </row>
    <row r="1754" spans="1:2" x14ac:dyDescent="0.15">
      <c r="A1754" t="s">
        <v>1734</v>
      </c>
      <c r="B1754" s="2" t="str">
        <f>HYPERLINK("げ/げん　眩運　1887（明治20）　（けんうん）（＝眩暈）　めまい、又、たちぐらみ　眩暈（けんうん）、又、頭旋（づせん）　鍼灸備要　青山道醇.jpg")</f>
        <v>げ/げん　眩運　1887（明治20）　（けんうん）（＝眩暈）　めまい、又、たちぐらみ　眩暈（けんうん）、又、頭旋（づせん）　鍼灸備要　青山道醇.jpg</v>
      </c>
    </row>
    <row r="1755" spans="1:2" x14ac:dyDescent="0.15">
      <c r="A1755" t="s">
        <v>1735</v>
      </c>
      <c r="B1755" t="str">
        <f>HYPERLINK("げ/げん　眩量　1780　めまい　鍼灸極秘伝　木村太沖.jpg")</f>
        <v>げ/げん　眩量　1780　めまい　鍼灸極秘伝　木村太沖.jpg</v>
      </c>
    </row>
    <row r="1756" spans="1:2" x14ac:dyDescent="0.15">
      <c r="A1756" t="s">
        <v>1736</v>
      </c>
      <c r="B1756" t="str">
        <f>HYPERLINK("げ/げん　言遅　1693　鍼灸要歌集　安井昌玄_ページ_1.jpg")</f>
        <v>げ/げん　言遅　1693　鍼灸要歌集　安井昌玄_ページ_1.jpg</v>
      </c>
    </row>
    <row r="1757" spans="1:2" x14ac:dyDescent="0.15">
      <c r="A1757" t="s">
        <v>1737</v>
      </c>
      <c r="B1757" t="str">
        <f>HYPERLINK("げ/げん　言遅　1693　鍼灸要歌集　安井昌玄_ページ_2.jpg")</f>
        <v>げ/げん　言遅　1693　鍼灸要歌集　安井昌玄_ページ_2.jpg</v>
      </c>
    </row>
    <row r="1758" spans="1:2" x14ac:dyDescent="0.15">
      <c r="A1758" t="s">
        <v>1738</v>
      </c>
      <c r="B1758" t="str">
        <f>HYPERLINK("げ/げん　頭痛　眩暈　1807　続名家灸選　平井庸信_ページ_1.jpg")</f>
        <v>げ/げん　頭痛　眩暈　1807　続名家灸選　平井庸信_ページ_1.jpg</v>
      </c>
    </row>
    <row r="1759" spans="1:2" x14ac:dyDescent="0.15">
      <c r="A1759" t="s">
        <v>1739</v>
      </c>
      <c r="B1759" t="str">
        <f>HYPERLINK("げ/げん　頭痛　眩暈　1807　続名家灸選　平井庸信_ページ_2.jpg")</f>
        <v>げ/げん　頭痛　眩暈　1807　続名家灸選　平井庸信_ページ_2.jpg</v>
      </c>
    </row>
    <row r="1760" spans="1:2" x14ac:dyDescent="0.15">
      <c r="A1760" t="s">
        <v>1740</v>
      </c>
      <c r="B1760" t="str">
        <f>HYPERLINK("げ/げん　頭痛　眩暈　1807　続名家灸選　平井庸信_ページ_3.jpg")</f>
        <v>げ/げん　頭痛　眩暈　1807　続名家灸選　平井庸信_ページ_3.jpg</v>
      </c>
    </row>
    <row r="1761" spans="1:2" x14ac:dyDescent="0.15">
      <c r="A1761" t="s">
        <v>1741</v>
      </c>
      <c r="B1761" t="str">
        <f>HYPERLINK("こ/こ　子安易産針　1613　古今集鍼法　長生庵了味か.jpg")</f>
        <v>こ/こ　子安易産針　1613　古今集鍼法　長生庵了味か.jpg</v>
      </c>
    </row>
    <row r="1762" spans="1:2" x14ac:dyDescent="0.15">
      <c r="A1762" t="s">
        <v>1742</v>
      </c>
      <c r="B1762" t="str">
        <f>HYPERLINK("こ/こ　子槍心　1765　鍼法弁惑　藤井秀孟.jpg")</f>
        <v>こ/こ　子槍心　1765　鍼法弁惑　藤井秀孟.jpg</v>
      </c>
    </row>
    <row r="1763" spans="1:2" x14ac:dyDescent="0.15">
      <c r="A1763" t="s">
        <v>1743</v>
      </c>
      <c r="B1763" t="str">
        <f>HYPERLINK("こ/こ　子煩（こわずらう）　1686　鍼灸要法指南　岩田利斎.jpg")</f>
        <v>こ/こ　子煩（こわずらう）　1686　鍼灸要法指南　岩田利斎.jpg</v>
      </c>
    </row>
    <row r="1764" spans="1:2" x14ac:dyDescent="0.15">
      <c r="A1764" t="s">
        <v>1744</v>
      </c>
      <c r="B1764" t="str">
        <f>HYPERLINK("こ/こ　小舌は舌　1607　扁鵲新流鍼書　越齋寿閑_ページ_1.jpg")</f>
        <v>こ/こ　小舌は舌　1607　扁鵲新流鍼書　越齋寿閑_ページ_1.jpg</v>
      </c>
    </row>
    <row r="1765" spans="1:2" x14ac:dyDescent="0.15">
      <c r="A1765" t="s">
        <v>1745</v>
      </c>
      <c r="B1765" t="str">
        <f>HYPERLINK("こ/こ　小舌は舌　1607　扁鵲新流鍼書　越齋寿閑_ページ_2.jpg")</f>
        <v>こ/こ　小舌は舌　1607　扁鵲新流鍼書　越齋寿閑_ページ_2.jpg</v>
      </c>
    </row>
    <row r="1766" spans="1:2" x14ac:dyDescent="0.15">
      <c r="A1766" t="s">
        <v>1746</v>
      </c>
      <c r="B1766" t="str">
        <f>HYPERLINK("こ/こ　無子（こなし）　1686　鍼灸要法指南　岩田利斎.jpg")</f>
        <v>こ/こ　無子（こなし）　1686　鍼灸要法指南　岩田利斎.jpg</v>
      </c>
    </row>
    <row r="1767" spans="1:2" x14ac:dyDescent="0.15">
      <c r="A1767" t="s">
        <v>1747</v>
      </c>
      <c r="B1767" t="str">
        <f>HYPERLINK("こ/こ　狐臭　陰臭　1807　続名家灸選　平井庸信.jpg")</f>
        <v>こ/こ　狐臭　陰臭　1807　続名家灸選　平井庸信.jpg</v>
      </c>
    </row>
    <row r="1768" spans="1:2" x14ac:dyDescent="0.15">
      <c r="A1768" t="s">
        <v>1748</v>
      </c>
      <c r="B1768" t="str">
        <f>HYPERLINK("こ/こ　股痛　1767　鍼灸則　菅沼周桂_ページ_1.jpg")</f>
        <v>こ/こ　股痛　1767　鍼灸則　菅沼周桂_ページ_1.jpg</v>
      </c>
    </row>
    <row r="1769" spans="1:2" x14ac:dyDescent="0.15">
      <c r="A1769" t="s">
        <v>1749</v>
      </c>
      <c r="B1769" t="str">
        <f>HYPERLINK("こ/こ　股痛　1767　鍼灸則　菅沼周桂_ページ_2.jpg")</f>
        <v>こ/こ　股痛　1767　鍼灸則　菅沼周桂_ページ_2.jpg</v>
      </c>
    </row>
    <row r="1770" spans="1:2" x14ac:dyDescent="0.15">
      <c r="A1770" t="s">
        <v>1750</v>
      </c>
      <c r="B1770" t="str">
        <f>HYPERLINK("こ/こ　虎口之紋にて疾之安危を知る事　1693　鍼灸要歌集　安井昌玄_ページ_1.jpg")</f>
        <v>こ/こ　虎口之紋にて疾之安危を知る事　1693　鍼灸要歌集　安井昌玄_ページ_1.jpg</v>
      </c>
    </row>
    <row r="1771" spans="1:2" x14ac:dyDescent="0.15">
      <c r="A1771" t="s">
        <v>1751</v>
      </c>
      <c r="B1771" t="str">
        <f>HYPERLINK("こ/こ　虎口之紋にて疾之安危を知る事　1693　鍼灸要歌集　安井昌玄_ページ_2.jpg")</f>
        <v>こ/こ　虎口之紋にて疾之安危を知る事　1693　鍼灸要歌集　安井昌玄_ページ_2.jpg</v>
      </c>
    </row>
    <row r="1772" spans="1:2" x14ac:dyDescent="0.15">
      <c r="A1772" t="s">
        <v>1752</v>
      </c>
      <c r="B1772" t="str">
        <f>HYPERLINK("こ/こ　蠱毒　1220　鍼灸資生経　王執中_ページ_1.jpg")</f>
        <v>こ/こ　蠱毒　1220　鍼灸資生経　王執中_ページ_1.jpg</v>
      </c>
    </row>
    <row r="1773" spans="1:2" x14ac:dyDescent="0.15">
      <c r="A1773" t="s">
        <v>1753</v>
      </c>
      <c r="B1773" t="str">
        <f>HYPERLINK("こ/こ　蠱毒　1220　鍼灸資生経　王執中_ページ_2.jpg")</f>
        <v>こ/こ　蠱毒　1220　鍼灸資生経　王執中_ページ_2.jpg</v>
      </c>
    </row>
    <row r="1774" spans="1:2" x14ac:dyDescent="0.15">
      <c r="A1774" t="s">
        <v>1754</v>
      </c>
      <c r="B1774" t="str">
        <f>HYPERLINK("こ/こ　鼓脹　1537　鍼灸聚英　明・高武.jpg")</f>
        <v>こ/こ　鼓脹　1537　鍼灸聚英　明・高武.jpg</v>
      </c>
    </row>
    <row r="1775" spans="1:2" x14ac:dyDescent="0.15">
      <c r="A1775" t="s">
        <v>1755</v>
      </c>
      <c r="B1775" t="str">
        <f>HYPERLINK("こ/こ　鼓脹　1761　挨穴捷径　杉原敦_ページ_1.jpg")</f>
        <v>こ/こ　鼓脹　1761　挨穴捷径　杉原敦_ページ_1.jpg</v>
      </c>
    </row>
    <row r="1776" spans="1:2" x14ac:dyDescent="0.15">
      <c r="A1776" t="s">
        <v>1756</v>
      </c>
      <c r="B1776" t="str">
        <f>HYPERLINK("こ/こ　鼓脹　1761　挨穴捷径　杉原敦_ページ_2.jpg")</f>
        <v>こ/こ　鼓脹　1761　挨穴捷径　杉原敦_ページ_2.jpg</v>
      </c>
    </row>
    <row r="1777" spans="1:2" x14ac:dyDescent="0.15">
      <c r="A1777" t="s">
        <v>1757</v>
      </c>
      <c r="B1777" t="str">
        <f>HYPERLINK("こ/こ　鼓脹　1767　鍼灸則　菅沼周桂.jpg")</f>
        <v>こ/こ　鼓脹　1767　鍼灸則　菅沼周桂.jpg</v>
      </c>
    </row>
    <row r="1778" spans="1:2" x14ac:dyDescent="0.15">
      <c r="A1778" t="s">
        <v>1758</v>
      </c>
      <c r="B1778" t="str">
        <f>HYPERLINK("こ/こ　鼓脹　大抵水腫極禁鍼刺。　1624　類経図翼　明・張介賓_ページ_1.jpg")</f>
        <v>こ/こ　鼓脹　大抵水腫極禁鍼刺。　1624　類経図翼　明・張介賓_ページ_1.jpg</v>
      </c>
    </row>
    <row r="1779" spans="1:2" x14ac:dyDescent="0.15">
      <c r="A1779" t="s">
        <v>1759</v>
      </c>
      <c r="B1779" t="str">
        <f>HYPERLINK("こ/こ　鼓脹　大抵水腫極禁鍼刺。　1624　類経図翼　明・張介賓_ページ_2.jpg")</f>
        <v>こ/こ　鼓脹　大抵水腫極禁鍼刺。　1624　類経図翼　明・張介賓_ページ_2.jpg</v>
      </c>
    </row>
    <row r="1780" spans="1:2" x14ac:dyDescent="0.15">
      <c r="A1780" t="s">
        <v>1760</v>
      </c>
      <c r="B1780" t="str">
        <f>HYPERLINK("こ/こ　鼓脹　大抵水腫極禁鍼刺。　1624　類経図翼　明・張介賓_ページ_3.jpg")</f>
        <v>こ/こ　鼓脹　大抵水腫極禁鍼刺。　1624　類経図翼　明・張介賓_ページ_3.jpg</v>
      </c>
    </row>
    <row r="1781" spans="1:2" x14ac:dyDescent="0.15">
      <c r="A1781" t="s">
        <v>1761</v>
      </c>
      <c r="B1781" t="str">
        <f>HYPERLINK("こ/こ　鼓脹　大抵水腫極禁鍼刺。　1624　類経図翼　明・張介賓_ページ_4.jpg")</f>
        <v>こ/こ　鼓脹　大抵水腫極禁鍼刺。　1624　類経図翼　明・張介賓_ページ_4.jpg</v>
      </c>
    </row>
    <row r="1782" spans="1:2" x14ac:dyDescent="0.15">
      <c r="A1782" t="s">
        <v>1762</v>
      </c>
      <c r="B1782" t="str">
        <f>HYPERLINK("こ/こ　鼓脹（余見腹脹）　1220　鍼灸資生経　王執中.jpg")</f>
        <v>こ/こ　鼓脹（余見腹脹）　1220　鍼灸資生経　王執中.jpg</v>
      </c>
    </row>
    <row r="1783" spans="1:2" x14ac:dyDescent="0.15">
      <c r="A1783" t="s">
        <v>1763</v>
      </c>
      <c r="B1783" t="str">
        <f>HYPERLINK("こ/こう　こうこう不能視　1765　鍼法弁惑　藤井秀孟.jpg")</f>
        <v>こ/こう　こうこう不能視　1765　鍼法弁惑　藤井秀孟.jpg</v>
      </c>
    </row>
    <row r="1784" spans="1:2" x14ac:dyDescent="0.15">
      <c r="A1784" t="s">
        <v>1764</v>
      </c>
      <c r="B1784" t="str">
        <f>HYPERLINK("こ/こう　こう子　1563　鍼灸集要　曲直瀬道三.jpg")</f>
        <v>こ/こう　こう子　1563　鍼灸集要　曲直瀬道三.jpg</v>
      </c>
    </row>
    <row r="1785" spans="1:2" x14ac:dyDescent="0.15">
      <c r="A1785" t="s">
        <v>1765</v>
      </c>
      <c r="B1785" t="str">
        <f>HYPERLINK("こ/こう　口　舌　1669　鍼灸枢要　山本玄通_ページ_01.jpg")</f>
        <v>こ/こう　口　舌　1669　鍼灸枢要　山本玄通_ページ_01.jpg</v>
      </c>
    </row>
    <row r="1786" spans="1:2" x14ac:dyDescent="0.15">
      <c r="A1786" t="s">
        <v>1766</v>
      </c>
      <c r="B1786" t="str">
        <f>HYPERLINK("こ/こう　口　舌　1669　鍼灸枢要　山本玄通_ページ_02.jpg")</f>
        <v>こ/こう　口　舌　1669　鍼灸枢要　山本玄通_ページ_02.jpg</v>
      </c>
    </row>
    <row r="1787" spans="1:2" x14ac:dyDescent="0.15">
      <c r="A1787" t="s">
        <v>1767</v>
      </c>
      <c r="B1787" t="str">
        <f>HYPERLINK("こ/こう　口　舌　1669　鍼灸枢要　山本玄通_ページ_03.jpg")</f>
        <v>こ/こう　口　舌　1669　鍼灸枢要　山本玄通_ページ_03.jpg</v>
      </c>
    </row>
    <row r="1788" spans="1:2" x14ac:dyDescent="0.15">
      <c r="A1788" t="s">
        <v>1768</v>
      </c>
      <c r="B1788" t="str">
        <f>HYPERLINK("こ/こう　口　舌　1669　鍼灸枢要　山本玄通_ページ_04.jpg")</f>
        <v>こ/こう　口　舌　1669　鍼灸枢要　山本玄通_ページ_04.jpg</v>
      </c>
    </row>
    <row r="1789" spans="1:2" x14ac:dyDescent="0.15">
      <c r="A1789" t="s">
        <v>1769</v>
      </c>
      <c r="B1789" t="str">
        <f>HYPERLINK("こ/こう　口　舌　1669　鍼灸枢要　山本玄通_ページ_05.jpg")</f>
        <v>こ/こう　口　舌　1669　鍼灸枢要　山本玄通_ページ_05.jpg</v>
      </c>
    </row>
    <row r="1790" spans="1:2" x14ac:dyDescent="0.15">
      <c r="A1790" t="s">
        <v>1770</v>
      </c>
      <c r="B1790" t="str">
        <f>HYPERLINK("こ/こう　口　舌　1669　鍼灸枢要　山本玄通_ページ_06.jpg")</f>
        <v>こ/こう　口　舌　1669　鍼灸枢要　山本玄通_ページ_06.jpg</v>
      </c>
    </row>
    <row r="1791" spans="1:2" x14ac:dyDescent="0.15">
      <c r="A1791" t="s">
        <v>1771</v>
      </c>
      <c r="B1791" t="str">
        <f>HYPERLINK("こ/こう　口　舌　1669　鍼灸枢要　山本玄通_ページ_07.jpg")</f>
        <v>こ/こう　口　舌　1669　鍼灸枢要　山本玄通_ページ_07.jpg</v>
      </c>
    </row>
    <row r="1792" spans="1:2" x14ac:dyDescent="0.15">
      <c r="A1792" t="s">
        <v>1772</v>
      </c>
      <c r="B1792" t="str">
        <f>HYPERLINK("こ/こう　口　舌　1669　鍼灸枢要　山本玄通_ページ_08.jpg")</f>
        <v>こ/こう　口　舌　1669　鍼灸枢要　山本玄通_ページ_08.jpg</v>
      </c>
    </row>
    <row r="1793" spans="1:2" x14ac:dyDescent="0.15">
      <c r="A1793" t="s">
        <v>1773</v>
      </c>
      <c r="B1793" t="str">
        <f>HYPERLINK("こ/こう　口　舌　1669　鍼灸枢要　山本玄通_ページ_09.jpg")</f>
        <v>こ/こう　口　舌　1669　鍼灸枢要　山本玄通_ページ_09.jpg</v>
      </c>
    </row>
    <row r="1794" spans="1:2" x14ac:dyDescent="0.15">
      <c r="A1794" t="s">
        <v>1774</v>
      </c>
      <c r="B1794" t="str">
        <f>HYPERLINK("こ/こう　口　舌　1669　鍼灸枢要　山本玄通_ページ_10.jpg")</f>
        <v>こ/こう　口　舌　1669　鍼灸枢要　山本玄通_ページ_10.jpg</v>
      </c>
    </row>
    <row r="1795" spans="1:2" x14ac:dyDescent="0.15">
      <c r="A1795" t="s">
        <v>1775</v>
      </c>
      <c r="B1795" t="str">
        <f>HYPERLINK("こ/こう　口　舌　1669　鍼灸枢要　山本玄通_ページ_11.jpg")</f>
        <v>こ/こう　口　舌　1669　鍼灸枢要　山本玄通_ページ_11.jpg</v>
      </c>
    </row>
    <row r="1796" spans="1:2" x14ac:dyDescent="0.15">
      <c r="A1796" t="s">
        <v>1776</v>
      </c>
      <c r="B1796" t="str">
        <f>HYPERLINK("こ/こう　口　舌　1669　鍼灸枢要　山本玄通_ページ_12.jpg")</f>
        <v>こ/こう　口　舌　1669　鍼灸枢要　山本玄通_ページ_12.jpg</v>
      </c>
    </row>
    <row r="1797" spans="1:2" x14ac:dyDescent="0.15">
      <c r="A1797" t="s">
        <v>1777</v>
      </c>
      <c r="B1797" t="str">
        <f>HYPERLINK("こ/こう　口いんあ　1220　鍼灸資生経　王執中_ページ_1.jpg")</f>
        <v>こ/こう　口いんあ　1220　鍼灸資生経　王執中_ページ_1.jpg</v>
      </c>
    </row>
    <row r="1798" spans="1:2" x14ac:dyDescent="0.15">
      <c r="A1798" t="s">
        <v>1778</v>
      </c>
      <c r="B1798" t="str">
        <f>HYPERLINK("こ/こう　口いんあ　1220　鍼灸資生経　王執中_ページ_2.jpg")</f>
        <v>こ/こう　口いんあ　1220　鍼灸資生経　王執中_ページ_2.jpg</v>
      </c>
    </row>
    <row r="1799" spans="1:2" x14ac:dyDescent="0.15">
      <c r="A1799" t="s">
        <v>1779</v>
      </c>
      <c r="B1799" t="str">
        <f>HYPERLINK("こ/こう　口か僻　附噤口　1299　続添要穴集　惟宗時俊.jpg")</f>
        <v>こ/こう　口か僻　附噤口　1299　続添要穴集　惟宗時俊.jpg</v>
      </c>
    </row>
    <row r="1800" spans="1:2" x14ac:dyDescent="0.15">
      <c r="A1800" t="s">
        <v>1780</v>
      </c>
      <c r="B1800" t="str">
        <f>HYPERLINK("こ/こう　口中の針　1607　扁鵲新流鍼書　越齋寿閑.jpg")</f>
        <v>こ/こう　口中の針　1607　扁鵲新流鍼書　越齋寿閑.jpg</v>
      </c>
    </row>
    <row r="1801" spans="1:2" x14ac:dyDescent="0.15">
      <c r="A1801" t="s">
        <v>1781</v>
      </c>
      <c r="B1801" t="str">
        <f>HYPERLINK("こ/こう　口中痛　1758　灸ぜつ塩土伝　三宅意安.jpg")</f>
        <v>こ/こう　口中痛　1758　灸ぜつ塩土伝　三宅意安.jpg</v>
      </c>
    </row>
    <row r="1802" spans="1:2" x14ac:dyDescent="0.15">
      <c r="A1802" t="s">
        <v>1782</v>
      </c>
      <c r="B1802" t="str">
        <f>HYPERLINK("こ/こう　口中門　口歯の疾の事　1694　療治之大概集　杉山和一.jpg")</f>
        <v>こ/こう　口中門　口歯の疾の事　1694　療治之大概集　杉山和一.jpg</v>
      </c>
    </row>
    <row r="1803" spans="1:2" x14ac:dyDescent="0.15">
      <c r="A1803" t="s">
        <v>1783</v>
      </c>
      <c r="B1803" t="str">
        <f>HYPERLINK("こ/こう　口唇　1679　鍼法奇貨　渡辺東伯_ページ_1.jpg")</f>
        <v>こ/こう　口唇　1679　鍼法奇貨　渡辺東伯_ページ_1.jpg</v>
      </c>
    </row>
    <row r="1804" spans="1:2" x14ac:dyDescent="0.15">
      <c r="A1804" t="s">
        <v>1784</v>
      </c>
      <c r="B1804" t="str">
        <f>HYPERLINK("こ/こう　口唇　1679　鍼法奇貨　渡辺東伯_ページ_2.jpg")</f>
        <v>こ/こう　口唇　1679　鍼法奇貨　渡辺東伯_ページ_2.jpg</v>
      </c>
    </row>
    <row r="1805" spans="1:2" x14ac:dyDescent="0.15">
      <c r="A1805" t="s">
        <v>1785</v>
      </c>
      <c r="B1805" t="str">
        <f>HYPERLINK("こ/こう　口唇　1679　鍼法奇貨　渡辺東伯_ページ_3.jpg")</f>
        <v>こ/こう　口唇　1679　鍼法奇貨　渡辺東伯_ページ_3.jpg</v>
      </c>
    </row>
    <row r="1806" spans="1:2" x14ac:dyDescent="0.15">
      <c r="A1806" t="s">
        <v>1786</v>
      </c>
      <c r="B1806" t="str">
        <f>HYPERLINK("こ/こう　口唇　1679　鍼法奇貨　渡辺東伯_ページ_4.jpg")</f>
        <v>こ/こう　口唇　1679　鍼法奇貨　渡辺東伯_ページ_4.jpg</v>
      </c>
    </row>
    <row r="1807" spans="1:2" x14ac:dyDescent="0.15">
      <c r="A1807" t="s">
        <v>1787</v>
      </c>
      <c r="B1807" t="str">
        <f>HYPERLINK("こ/こう　口唇　1679　鍼法奇貨　渡辺東伯_ページ_5.jpg")</f>
        <v>こ/こう　口唇　1679　鍼法奇貨　渡辺東伯_ページ_5.jpg</v>
      </c>
    </row>
    <row r="1808" spans="1:2" x14ac:dyDescent="0.15">
      <c r="A1808" t="s">
        <v>1788</v>
      </c>
      <c r="B1808" t="str">
        <f>HYPERLINK("こ/こう　口噤　1299　続添要穴集　惟宗時俊.jpg")</f>
        <v>こ/こう　口噤　1299　続添要穴集　惟宗時俊.jpg</v>
      </c>
    </row>
    <row r="1809" spans="1:2" x14ac:dyDescent="0.15">
      <c r="A1809" t="s">
        <v>1789</v>
      </c>
      <c r="B1809" t="str">
        <f>HYPERLINK("こ/こう　口噤不開　1299　続添要穴集　惟宗時俊.jpg")</f>
        <v>こ/こう　口噤不開　1299　続添要穴集　惟宗時俊.jpg</v>
      </c>
    </row>
    <row r="1810" spans="1:2" x14ac:dyDescent="0.15">
      <c r="A1810" t="s">
        <v>1790</v>
      </c>
      <c r="B1810" t="str">
        <f>HYPERLINK("こ/こう　口噤不開　1624　類経図翼　明・張介賓.jpg")</f>
        <v>こ/こう　口噤不開　1624　類経図翼　明・張介賓.jpg</v>
      </c>
    </row>
    <row r="1811" spans="1:2" x14ac:dyDescent="0.15">
      <c r="A1811" t="s">
        <v>1791</v>
      </c>
      <c r="B1811" t="str">
        <f>HYPERLINK("こ/こう　口噤不開　1694　選鍼三要集　杉山和一_ページ_1.jpg")</f>
        <v>こ/こう　口噤不開　1694　選鍼三要集　杉山和一_ページ_1.jpg</v>
      </c>
    </row>
    <row r="1812" spans="1:2" x14ac:dyDescent="0.15">
      <c r="A1812" t="s">
        <v>1792</v>
      </c>
      <c r="B1812" t="str">
        <f>HYPERLINK("こ/こう　口噤不開　1694　選鍼三要集　杉山和一_ページ_2.jpg")</f>
        <v>こ/こう　口噤不開　1694　選鍼三要集　杉山和一_ページ_2.jpg</v>
      </c>
    </row>
    <row r="1813" spans="1:2" x14ac:dyDescent="0.15">
      <c r="A1813" t="s">
        <v>1793</v>
      </c>
      <c r="B1813" t="str">
        <f>HYPERLINK("こ/こう　口歯疳瘡　1220　鍼灸資生経　王執中.jpg")</f>
        <v>こ/こう　口歯疳瘡　1220　鍼灸資生経　王執中.jpg</v>
      </c>
    </row>
    <row r="1814" spans="1:2" x14ac:dyDescent="0.15">
      <c r="A1814" t="s">
        <v>1794</v>
      </c>
      <c r="B1814" t="str">
        <f>HYPERLINK("こ/こう　口歯病　0300　●手足陽明脈動発口歯病　第六　鍼灸甲乙経　皇甫謐_ページ_1.jpg")</f>
        <v>こ/こう　口歯病　0300　●手足陽明脈動発口歯病　第六　鍼灸甲乙経　皇甫謐_ページ_1.jpg</v>
      </c>
    </row>
    <row r="1815" spans="1:2" x14ac:dyDescent="0.15">
      <c r="A1815" t="s">
        <v>1795</v>
      </c>
      <c r="B1815" t="str">
        <f>HYPERLINK("こ/こう　口歯病　0300　●手足陽明脈動発口歯病　第六　鍼灸甲乙経　皇甫謐_ページ_2.jpg")</f>
        <v>こ/こう　口歯病　0300　●手足陽明脈動発口歯病　第六　鍼灸甲乙経　皇甫謐_ページ_2.jpg</v>
      </c>
    </row>
    <row r="1816" spans="1:2" x14ac:dyDescent="0.15">
      <c r="A1816" t="s">
        <v>1796</v>
      </c>
      <c r="B1816" t="str">
        <f>HYPERLINK("こ/こう　口気　1329　扁鵲神応鍼灸玉龍経　元・王国瑞_ページ_1.jpg")</f>
        <v>こ/こう　口気　1329　扁鵲神応鍼灸玉龍経　元・王国瑞_ページ_1.jpg</v>
      </c>
    </row>
    <row r="1817" spans="1:2" x14ac:dyDescent="0.15">
      <c r="A1817" t="s">
        <v>1797</v>
      </c>
      <c r="B1817" t="str">
        <f>HYPERLINK("こ/こう　口気　1329　扁鵲神応鍼灸玉龍経　元・王国瑞_ページ_2.jpg")</f>
        <v>こ/こう　口気　1329　扁鵲神応鍼灸玉龍経　元・王国瑞_ページ_2.jpg</v>
      </c>
    </row>
    <row r="1818" spans="1:2" x14ac:dyDescent="0.15">
      <c r="A1818" t="s">
        <v>1798</v>
      </c>
      <c r="B1818" t="str">
        <f>HYPERLINK("こ/こう　口病　0650　千金方　孫思ばく_ページ_1.jpg")</f>
        <v>こ/こう　口病　0650　千金方　孫思ばく_ページ_1.jpg</v>
      </c>
    </row>
    <row r="1819" spans="1:2" x14ac:dyDescent="0.15">
      <c r="A1819" t="s">
        <v>1799</v>
      </c>
      <c r="B1819" t="str">
        <f>HYPERLINK("こ/こう　口病　0650　千金方　孫思ばく_ページ_2.jpg")</f>
        <v>こ/こう　口病　0650　千金方　孫思ばく_ページ_2.jpg</v>
      </c>
    </row>
    <row r="1820" spans="1:2" x14ac:dyDescent="0.15">
      <c r="A1820" t="s">
        <v>1800</v>
      </c>
      <c r="B1820" t="str">
        <f>HYPERLINK("こ/こう　口病　1574　兪穴参伍的法　秦宗巴.jpg")</f>
        <v>こ/こう　口病　1574　兪穴参伍的法　秦宗巴.jpg</v>
      </c>
    </row>
    <row r="1821" spans="1:2" x14ac:dyDescent="0.15">
      <c r="A1821" t="s">
        <v>1801</v>
      </c>
      <c r="B1821" t="str">
        <f>HYPERLINK("こ/こう　口病　1718　鍼灸重宝記　本郷正豊.jpg")</f>
        <v>こ/こう　口病　1718　鍼灸重宝記　本郷正豊.jpg</v>
      </c>
    </row>
    <row r="1822" spans="1:2" x14ac:dyDescent="0.15">
      <c r="A1822" t="s">
        <v>1802</v>
      </c>
      <c r="B1822" t="str">
        <f>HYPERLINK("こ/こう　口病　1773　鍼灸手引草　大簡室主人_ページ_1.jpg")</f>
        <v>こ/こう　口病　1773　鍼灸手引草　大簡室主人_ページ_1.jpg</v>
      </c>
    </row>
    <row r="1823" spans="1:2" x14ac:dyDescent="0.15">
      <c r="A1823" t="s">
        <v>1803</v>
      </c>
      <c r="B1823" t="str">
        <f>HYPERLINK("こ/こう　口病　1773　鍼灸手引草　大簡室主人_ページ_2.jpg")</f>
        <v>こ/こう　口病　1773　鍼灸手引草　大簡室主人_ページ_2.jpg</v>
      </c>
    </row>
    <row r="1824" spans="1:2" x14ac:dyDescent="0.15">
      <c r="A1824" t="s">
        <v>1804</v>
      </c>
      <c r="B1824" t="str">
        <f>HYPERLINK("こ/こう　口瘡　鵞口　1686　鍼灸要法指南　岩田利斎.jpg")</f>
        <v>こ/こう　口瘡　鵞口　1686　鍼灸要法指南　岩田利斎.jpg</v>
      </c>
    </row>
    <row r="1825" spans="1:2" x14ac:dyDescent="0.15">
      <c r="A1825" t="s">
        <v>1805</v>
      </c>
      <c r="B1825" t="str">
        <f>HYPERLINK("こ/こう　口瘡鷲口　1693　鍼灸要歌集　安井昌玄_ページ_1.jpg")</f>
        <v>こ/こう　口瘡鷲口　1693　鍼灸要歌集　安井昌玄_ページ_1.jpg</v>
      </c>
    </row>
    <row r="1826" spans="1:2" x14ac:dyDescent="0.15">
      <c r="A1826" t="s">
        <v>1806</v>
      </c>
      <c r="B1826" t="str">
        <f>HYPERLINK("こ/こう　口瘡鷲口　1693　鍼灸要歌集　安井昌玄_ページ_2.jpg")</f>
        <v>こ/こう　口瘡鷲口　1693　鍼灸要歌集　安井昌玄_ページ_2.jpg</v>
      </c>
    </row>
    <row r="1827" spans="1:2" x14ac:dyDescent="0.15">
      <c r="A1827" t="s">
        <v>1807</v>
      </c>
      <c r="B1827" t="str">
        <f>HYPERLINK("こ/こう　口瘡，舌下腫難言，舌縦涎出及舌根急縮　1315　鍼経摘英集　元・杜思敬「済生抜粋方」.jpg")</f>
        <v>こ/こう　口瘡，舌下腫難言，舌縦涎出及舌根急縮　1315　鍼経摘英集　元・杜思敬「済生抜粋方」.jpg</v>
      </c>
    </row>
    <row r="1828" spans="1:2" x14ac:dyDescent="0.15">
      <c r="A1828" t="s">
        <v>1808</v>
      </c>
      <c r="B1828" t="str">
        <f>HYPERLINK("こ/こう　口眼か　1220　鍼灸資生経　王執中_ページ_1.jpg")</f>
        <v>こ/こう　口眼か　1220　鍼灸資生経　王執中_ページ_1.jpg</v>
      </c>
    </row>
    <row r="1829" spans="1:2" x14ac:dyDescent="0.15">
      <c r="A1829" t="s">
        <v>1809</v>
      </c>
      <c r="B1829" t="str">
        <f>HYPERLINK("こ/こう　口眼か　1220　鍼灸資生経　王執中_ページ_2.jpg")</f>
        <v>こ/こう　口眼か　1220　鍼灸資生経　王執中_ページ_2.jpg</v>
      </c>
    </row>
    <row r="1830" spans="1:2" x14ac:dyDescent="0.15">
      <c r="A1830" t="s">
        <v>1810</v>
      </c>
      <c r="B1830" t="str">
        <f>HYPERLINK("こ/こう　口眼か斜　1299　続添要穴集　惟宗時俊_ページ_1.jpg")</f>
        <v>こ/こう　口眼か斜　1299　続添要穴集　惟宗時俊_ページ_1.jpg</v>
      </c>
    </row>
    <row r="1831" spans="1:2" x14ac:dyDescent="0.15">
      <c r="A1831" t="s">
        <v>1811</v>
      </c>
      <c r="B1831" t="str">
        <f>HYPERLINK("こ/こう　口眼か斜　1299　続添要穴集　惟宗時俊_ページ_2.jpg")</f>
        <v>こ/こう　口眼か斜　1299　続添要穴集　惟宗時俊_ページ_2.jpg</v>
      </c>
    </row>
    <row r="1832" spans="1:2" x14ac:dyDescent="0.15">
      <c r="A1832" t="s">
        <v>1812</v>
      </c>
      <c r="B1832" t="str">
        <f>HYPERLINK("こ/こう　口眼か斜　1329　扁鵲神応鍼灸玉龍経　元・王国瑞_ページ_1.jpg")</f>
        <v>こ/こう　口眼か斜　1329　扁鵲神応鍼灸玉龍経　元・王国瑞_ページ_1.jpg</v>
      </c>
    </row>
    <row r="1833" spans="1:2" x14ac:dyDescent="0.15">
      <c r="A1833" t="s">
        <v>1813</v>
      </c>
      <c r="B1833" t="str">
        <f>HYPERLINK("こ/こう　口眼か斜　1329　扁鵲神応鍼灸玉龍経　元・王国瑞_ページ_2.jpg")</f>
        <v>こ/こう　口眼か斜　1329　扁鵲神応鍼灸玉龍経　元・王国瑞_ページ_2.jpg</v>
      </c>
    </row>
    <row r="1834" spans="1:2" x14ac:dyDescent="0.15">
      <c r="A1834" t="s">
        <v>1814</v>
      </c>
      <c r="B1834" t="str">
        <f>HYPERLINK("こ/こう　口眼か斜　1624　類経図翼　明・張介賓_ページ_1.jpg")</f>
        <v>こ/こう　口眼か斜　1624　類経図翼　明・張介賓_ページ_1.jpg</v>
      </c>
    </row>
    <row r="1835" spans="1:2" x14ac:dyDescent="0.15">
      <c r="A1835" t="s">
        <v>1815</v>
      </c>
      <c r="B1835" t="str">
        <f>HYPERLINK("こ/こう　口眼か斜　1624　類経図翼　明・張介賓_ページ_2.jpg")</f>
        <v>こ/こう　口眼か斜　1624　類経図翼　明・張介賓_ページ_2.jpg</v>
      </c>
    </row>
    <row r="1836" spans="1:2" x14ac:dyDescent="0.15">
      <c r="A1836" t="s">
        <v>1816</v>
      </c>
      <c r="B1836" t="str">
        <f>HYPERLINK("こ/こう　口眼か斜　1694　選鍼三要集　杉山和一.jpg")</f>
        <v>こ/こう　口眼か斜　1694　選鍼三要集　杉山和一.jpg</v>
      </c>
    </row>
    <row r="1837" spans="1:2" x14ac:dyDescent="0.15">
      <c r="A1837" t="s">
        <v>1817</v>
      </c>
      <c r="B1837" t="str">
        <f>HYPERLINK("こ/こう　口眼か斜　1765　鍼法弁惑　藤井秀孟.jpg")</f>
        <v>こ/こう　口眼か斜　1765　鍼法弁惑　藤井秀孟.jpg</v>
      </c>
    </row>
    <row r="1838" spans="1:2" x14ac:dyDescent="0.15">
      <c r="A1838" t="s">
        <v>1818</v>
      </c>
      <c r="B1838" t="str">
        <f>HYPERLINK("こ/こう　口眼か斜（こうがんくわしゃ）　くちゆかむ　1887（明治20）　鍼灸備要　青山道醇.jpg")</f>
        <v>こ/こう　口眼か斜（こうがんくわしゃ）　くちゆかむ　1887（明治20）　鍼灸備要　青山道醇.jpg</v>
      </c>
    </row>
    <row r="1839" spans="1:2" x14ac:dyDescent="0.15">
      <c r="A1839" t="s">
        <v>1819</v>
      </c>
      <c r="B1839" t="str">
        <f>HYPERLINK("こ/こう　口糜（こうび）　こうねつ　加多児（カタル）性口内炎　1887（明治20）　鍼灸備要　青山道醇.jpg")</f>
        <v>こ/こう　口糜（こうび）　こうねつ　加多児（カタル）性口内炎　1887（明治20）　鍼灸備要　青山道醇.jpg</v>
      </c>
    </row>
    <row r="1840" spans="1:2" x14ac:dyDescent="0.15">
      <c r="A1840" t="s">
        <v>1820</v>
      </c>
      <c r="B1840" t="str">
        <f>HYPERLINK("こ/こう　口緩　1220　鍼灸資生経　王執中.jpg")</f>
        <v>こ/こう　口緩　1220　鍼灸資生経　王執中.jpg</v>
      </c>
    </row>
    <row r="1841" spans="1:2" x14ac:dyDescent="0.15">
      <c r="A1841" t="s">
        <v>1821</v>
      </c>
      <c r="B1841" t="str">
        <f>HYPERLINK("こ/こう　口舌　1686　鍼灸要法指南　岩田利斎_ページ_1.jpg")</f>
        <v>こ/こう　口舌　1686　鍼灸要法指南　岩田利斎_ページ_1.jpg</v>
      </c>
    </row>
    <row r="1842" spans="1:2" x14ac:dyDescent="0.15">
      <c r="A1842" t="s">
        <v>1822</v>
      </c>
      <c r="B1842" t="str">
        <f>HYPERLINK("こ/こう　口舌　1686　鍼灸要法指南　岩田利斎_ページ_2.jpg")</f>
        <v>こ/こう　口舌　1686　鍼灸要法指南　岩田利斎_ページ_2.jpg</v>
      </c>
    </row>
    <row r="1843" spans="1:2" x14ac:dyDescent="0.15">
      <c r="A1843" t="s">
        <v>1823</v>
      </c>
      <c r="B1843" t="str">
        <f>HYPERLINK("こ/こう　口舌　1694　鍼灸そかい集　高津敬節.jpg")</f>
        <v>こ/こう　口舌　1694　鍼灸そかい集　高津敬節.jpg</v>
      </c>
    </row>
    <row r="1844" spans="1:2" x14ac:dyDescent="0.15">
      <c r="A1844" t="s">
        <v>1824</v>
      </c>
      <c r="B1844" t="str">
        <f>HYPERLINK("こ/こう　口舌　1800　鍼灸備要　小坂元祐_ページ_1.jpg")</f>
        <v>こ/こう　口舌　1800　鍼灸備要　小坂元祐_ページ_1.jpg</v>
      </c>
    </row>
    <row r="1845" spans="1:2" x14ac:dyDescent="0.15">
      <c r="A1845" t="s">
        <v>1825</v>
      </c>
      <c r="B1845" t="str">
        <f>HYPERLINK("こ/こう　口舌　1800　鍼灸備要　小坂元祐_ページ_2.jpg")</f>
        <v>こ/こう　口舌　1800　鍼灸備要　小坂元祐_ページ_2.jpg</v>
      </c>
    </row>
    <row r="1846" spans="1:2" x14ac:dyDescent="0.15">
      <c r="A1846" t="s">
        <v>1826</v>
      </c>
      <c r="B1846" t="str">
        <f>HYPERLINK("こ/こう　口舌　1800　鍼灸備要　小坂元祐_ページ_3.jpg")</f>
        <v>こ/こう　口舌　1800　鍼灸備要　小坂元祐_ページ_3.jpg</v>
      </c>
    </row>
    <row r="1847" spans="1:2" x14ac:dyDescent="0.15">
      <c r="A1847" t="s">
        <v>1827</v>
      </c>
      <c r="B1847" t="str">
        <f>HYPERLINK("こ/こう　口舌乾苦（熱臭）　1220　鍼灸資生経　王執中.jpg")</f>
        <v>こ/こう　口舌乾苦（熱臭）　1220　鍼灸資生経　王執中.jpg</v>
      </c>
    </row>
    <row r="1848" spans="1:2" x14ac:dyDescent="0.15">
      <c r="A1848" t="s">
        <v>1828</v>
      </c>
      <c r="B1848" t="str">
        <f>HYPERLINK("こ/こう　口舌生瘡　口中（こうちゅう）また、した（舌）にかさいづる人　1780　鍼灸極秘伝　木村太沖.jpg")</f>
        <v>こ/こう　口舌生瘡　口中（こうちゅう）また、した（舌）にかさいづる人　1780　鍼灸極秘伝　木村太沖.jpg</v>
      </c>
    </row>
    <row r="1849" spans="1:2" x14ac:dyDescent="0.15">
      <c r="A1849" t="s">
        <v>1829</v>
      </c>
      <c r="B1849" t="str">
        <f>HYPERLINK("こ/こう　口舌病　1767　鍼灸則　菅沼周桂_ページ_1.jpg")</f>
        <v>こ/こう　口舌病　1767　鍼灸則　菅沼周桂_ページ_1.jpg</v>
      </c>
    </row>
    <row r="1850" spans="1:2" x14ac:dyDescent="0.15">
      <c r="A1850" t="s">
        <v>1830</v>
      </c>
      <c r="B1850" t="str">
        <f>HYPERLINK("こ/こう　口舌病　1767　鍼灸則　菅沼周桂_ページ_2.jpg")</f>
        <v>こ/こう　口舌病　1767　鍼灸則　菅沼周桂_ページ_2.jpg</v>
      </c>
    </row>
    <row r="1851" spans="1:2" x14ac:dyDescent="0.15">
      <c r="A1851" t="s">
        <v>1831</v>
      </c>
      <c r="B1851" t="str">
        <f>HYPERLINK("こ/こう　口舌瘡痛糜爛疳蝕　1794　杉山流鍼術　島浦和田一.jpg")</f>
        <v>こ/こう　口舌瘡痛糜爛疳蝕　1794　杉山流鍼術　島浦和田一.jpg</v>
      </c>
    </row>
    <row r="1852" spans="1:2" x14ac:dyDescent="0.15">
      <c r="A1852" t="s">
        <v>1832</v>
      </c>
      <c r="B1852" t="str">
        <f>HYPERLINK("こ/こう　口鼻出血　1765　鍼法弁惑　藤井秀孟_ページ_1.jpg")</f>
        <v>こ/こう　口鼻出血　1765　鍼法弁惑　藤井秀孟_ページ_1.jpg</v>
      </c>
    </row>
    <row r="1853" spans="1:2" x14ac:dyDescent="0.15">
      <c r="A1853" t="s">
        <v>1833</v>
      </c>
      <c r="B1853" t="str">
        <f>HYPERLINK("こ/こう　口鼻出血　1765　鍼法弁惑　藤井秀孟_ページ_2.jpg")</f>
        <v>こ/こう　口鼻出血　1765　鍼法弁惑　藤井秀孟_ページ_2.jpg</v>
      </c>
    </row>
    <row r="1854" spans="1:2" x14ac:dyDescent="0.15">
      <c r="A1854" t="s">
        <v>1834</v>
      </c>
      <c r="B1854" t="str">
        <f>HYPERLINK("こ/こう　口鼻出血　1765　鍼法弁惑　藤井秀孟_ページ_3.jpg")</f>
        <v>こ/こう　口鼻出血　1765　鍼法弁惑　藤井秀孟_ページ_3.jpg</v>
      </c>
    </row>
    <row r="1855" spans="1:2" x14ac:dyDescent="0.15">
      <c r="A1855" t="s">
        <v>1835</v>
      </c>
      <c r="B1855" t="str">
        <f>HYPERLINK("こ/こう　咬蛸　1792　鍼法要集　源長起_ページ_1.jpg")</f>
        <v>こ/こう　咬蛸　1792　鍼法要集　源長起_ページ_1.jpg</v>
      </c>
    </row>
    <row r="1856" spans="1:2" x14ac:dyDescent="0.15">
      <c r="A1856" t="s">
        <v>1836</v>
      </c>
      <c r="B1856" t="str">
        <f>HYPERLINK("こ/こう　咬蛸　1792　鍼法要集　源長起_ページ_2.jpg")</f>
        <v>こ/こう　咬蛸　1792　鍼法要集　源長起_ページ_2.jpg</v>
      </c>
    </row>
    <row r="1857" spans="1:2" x14ac:dyDescent="0.15">
      <c r="A1857" t="s">
        <v>1837</v>
      </c>
      <c r="B1857" t="str">
        <f>HYPERLINK("こ/こう　咳嗽　吼哮　1807　続名家灸選　平井庸信_ページ_1.jpg")</f>
        <v>こ/こう　咳嗽　吼哮　1807　続名家灸選　平井庸信_ページ_1.jpg</v>
      </c>
    </row>
    <row r="1858" spans="1:2" x14ac:dyDescent="0.15">
      <c r="A1858" t="s">
        <v>1838</v>
      </c>
      <c r="B1858" t="str">
        <f>HYPERLINK("こ/こう　咳嗽　吼哮　1807　続名家灸選　平井庸信_ページ_2.jpg")</f>
        <v>こ/こう　咳嗽　吼哮　1807　続名家灸選　平井庸信_ページ_2.jpg</v>
      </c>
    </row>
    <row r="1859" spans="1:2" x14ac:dyDescent="0.15">
      <c r="A1859" t="s">
        <v>1839</v>
      </c>
      <c r="B1859" t="str">
        <f>HYPERLINK("こ/こう　咳嗽　吼哮　1807　続名家灸選　平井庸信_ページ_3.jpg")</f>
        <v>こ/こう　咳嗽　吼哮　1807　続名家灸選　平井庸信_ページ_3.jpg</v>
      </c>
    </row>
    <row r="1860" spans="1:2" x14ac:dyDescent="0.15">
      <c r="A1860" t="s">
        <v>1840</v>
      </c>
      <c r="B1860" t="str">
        <f>HYPERLINK("こ/こう　哮　1703　鍼灸阿是要穴　岡本一抱_ページ_1.jpg")</f>
        <v>こ/こう　哮　1703　鍼灸阿是要穴　岡本一抱_ページ_1.jpg</v>
      </c>
    </row>
    <row r="1861" spans="1:2" x14ac:dyDescent="0.15">
      <c r="A1861" t="s">
        <v>1841</v>
      </c>
      <c r="B1861" t="str">
        <f>HYPERLINK("こ/こう　哮　1703　鍼灸阿是要穴　岡本一抱_ページ_2.jpg")</f>
        <v>こ/こう　哮　1703　鍼灸阿是要穴　岡本一抱_ページ_2.jpg</v>
      </c>
    </row>
    <row r="1862" spans="1:2" x14ac:dyDescent="0.15">
      <c r="A1862" t="s">
        <v>1842</v>
      </c>
      <c r="B1862" t="str">
        <f>HYPERLINK("こ/こう　哮喘痰嗽　1329　扁鵲神応鍼灸玉龍経　元・王国瑞.jpg")</f>
        <v>こ/こう　哮喘痰嗽　1329　扁鵲神応鍼灸玉龍経　元・王国瑞.jpg</v>
      </c>
    </row>
    <row r="1863" spans="1:2" x14ac:dyDescent="0.15">
      <c r="A1863" t="s">
        <v>1843</v>
      </c>
      <c r="B1863" t="str">
        <f>HYPERLINK("こ/こう　喉咽病　0650　千金方　孫思ばく.jpg")</f>
        <v>こ/こう　喉咽病　0650　千金方　孫思ばく.jpg</v>
      </c>
    </row>
    <row r="1864" spans="1:2" x14ac:dyDescent="0.15">
      <c r="A1864" t="s">
        <v>1844</v>
      </c>
      <c r="B1864" t="str">
        <f>HYPERLINK("こ/こう　喉咽鳴（雑病）　1220　鍼灸資生経　王執中.jpg")</f>
        <v>こ/こう　喉咽鳴（雑病）　1220　鍼灸資生経　王執中.jpg</v>
      </c>
    </row>
    <row r="1865" spans="1:2" x14ac:dyDescent="0.15">
      <c r="A1865" t="s">
        <v>1845</v>
      </c>
      <c r="B1865" t="str">
        <f>HYPERLINK("こ/こう　喉痺　0650　千金方　孫思ばく_ページ_1.jpg")</f>
        <v>こ/こう　喉痺　0650　千金方　孫思ばく_ページ_1.jpg</v>
      </c>
    </row>
    <row r="1866" spans="1:2" x14ac:dyDescent="0.15">
      <c r="A1866" t="s">
        <v>1846</v>
      </c>
      <c r="B1866" t="str">
        <f>HYPERLINK("こ/こう　喉痺　0650　千金方　孫思ばく_ページ_2.jpg")</f>
        <v>こ/こう　喉痺　0650　千金方　孫思ばく_ページ_2.jpg</v>
      </c>
    </row>
    <row r="1867" spans="1:2" x14ac:dyDescent="0.15">
      <c r="A1867" t="s">
        <v>1847</v>
      </c>
      <c r="B1867" t="str">
        <f>HYPERLINK("こ/こう　喉痺　1220　鍼灸資生経　王執中.jpg")</f>
        <v>こ/こう　喉痺　1220　鍼灸資生経　王執中.jpg</v>
      </c>
    </row>
    <row r="1868" spans="1:2" x14ac:dyDescent="0.15">
      <c r="A1868" t="s">
        <v>1848</v>
      </c>
      <c r="B1868" t="str">
        <f>HYPERLINK("こ/こう　喉痺　1315　鍼経摘英集　元・杜思敬「済生抜粋方」.jpg")</f>
        <v>こ/こう　喉痺　1315　鍼経摘英集　元・杜思敬「済生抜粋方」.jpg</v>
      </c>
    </row>
    <row r="1869" spans="1:2" x14ac:dyDescent="0.15">
      <c r="A1869" t="s">
        <v>1849</v>
      </c>
      <c r="B1869" t="str">
        <f>HYPERLINK("こ/こう　喉痺　1537　鍼灸聚英　明・高武.jpg")</f>
        <v>こ/こう　喉痺　1537　鍼灸聚英　明・高武.jpg</v>
      </c>
    </row>
    <row r="1870" spans="1:2" x14ac:dyDescent="0.15">
      <c r="A1870" t="s">
        <v>1850</v>
      </c>
      <c r="B1870" t="str">
        <f>HYPERLINK("こ/こう　喉痺　1563　鍼灸集要　曲直瀬道三.jpg")</f>
        <v>こ/こう　喉痺　1563　鍼灸集要　曲直瀬道三.jpg</v>
      </c>
    </row>
    <row r="1871" spans="1:2" x14ac:dyDescent="0.15">
      <c r="A1871" t="s">
        <v>5511</v>
      </c>
      <c r="B1871" t="str">
        <f>HYPERLINK("こ/こう　喉痺　1694　選鍼三要集　杉山和一.jpg")</f>
        <v>こ/こう　喉痺　1694　選鍼三要集　杉山和一.jpg</v>
      </c>
    </row>
    <row r="1872" spans="1:2" x14ac:dyDescent="0.15">
      <c r="A1872" t="s">
        <v>1851</v>
      </c>
      <c r="B1872" t="str">
        <f>HYPERLINK("こ/こう　喉痺　1694　鍼灸そかい集　高津敬節.jpg")</f>
        <v>こ/こう　喉痺　1694　鍼灸そかい集　高津敬節.jpg</v>
      </c>
    </row>
    <row r="1873" spans="1:2" x14ac:dyDescent="0.15">
      <c r="A1873" t="s">
        <v>1852</v>
      </c>
      <c r="B1873" t="str">
        <f>HYPERLINK("こ/こう　喉痺　1765　鍼法弁惑　藤井秀孟_ページ_1.jpg")</f>
        <v>こ/こう　喉痺　1765　鍼法弁惑　藤井秀孟_ページ_1.jpg</v>
      </c>
    </row>
    <row r="1874" spans="1:2" x14ac:dyDescent="0.15">
      <c r="A1874" t="s">
        <v>1853</v>
      </c>
      <c r="B1874" t="str">
        <f>HYPERLINK("こ/こう　喉痺　1765　鍼法弁惑　藤井秀孟_ページ_2.jpg")</f>
        <v>こ/こう　喉痺　1765　鍼法弁惑　藤井秀孟_ページ_2.jpg</v>
      </c>
    </row>
    <row r="1875" spans="1:2" x14ac:dyDescent="0.15">
      <c r="A1875" t="s">
        <v>1854</v>
      </c>
      <c r="B1875" t="str">
        <f>HYPERLINK("こ/こう　喉痺　1767　鍼灸則　菅沼周桂.jpg")</f>
        <v>こ/こう　喉痺　1767　鍼灸則　菅沼周桂.jpg</v>
      </c>
    </row>
    <row r="1876" spans="1:2" x14ac:dyDescent="0.15">
      <c r="A1876" t="s">
        <v>1855</v>
      </c>
      <c r="B1876" t="str">
        <f>HYPERLINK("こ/こう　喉痺　1912年（大正01）　鍼灸手引草　久木田七郎.jpg")</f>
        <v>こ/こう　喉痺　1912年（大正01）　鍼灸手引草　久木田七郎.jpg</v>
      </c>
    </row>
    <row r="1877" spans="1:2" x14ac:dyDescent="0.15">
      <c r="A1877" t="s">
        <v>1856</v>
      </c>
      <c r="B1877" t="str">
        <f>HYPERLINK("こ/こう　喉痺　こうひ　扁桃腺炎　1887（明治20）　鍼灸備要　青山道醇.jpg")</f>
        <v>こ/こう　喉痺　こうひ　扁桃腺炎　1887（明治20）　鍼灸備要　青山道醇.jpg</v>
      </c>
    </row>
    <row r="1878" spans="1:2" x14ac:dyDescent="0.15">
      <c r="A1878" t="s">
        <v>1857</v>
      </c>
      <c r="B1878" t="str">
        <f>HYPERLINK("こ/こう　喉痺　玉機微義針灸証治　1537　鍼灸聚英　明・高武_ページ_1.jpg")</f>
        <v>こ/こう　喉痺　玉機微義針灸証治　1537　鍼灸聚英　明・高武_ページ_1.jpg</v>
      </c>
    </row>
    <row r="1879" spans="1:2" x14ac:dyDescent="0.15">
      <c r="A1879" t="s">
        <v>1858</v>
      </c>
      <c r="B1879" t="str">
        <f>HYPERLINK("こ/こう　喉痺　玉機微義針灸証治　1537　鍼灸聚英　明・高武_ページ_2.jpg")</f>
        <v>こ/こう　喉痺　玉機微義針灸証治　1537　鍼灸聚英　明・高武_ページ_2.jpg</v>
      </c>
    </row>
    <row r="1880" spans="1:2" x14ac:dyDescent="0.15">
      <c r="A1880" t="s">
        <v>1859</v>
      </c>
      <c r="B1880" t="str">
        <f>HYPERLINK("こ/こう　喉痺之針穴　1613　古今集鍼法　長生庵了味か.jpg")</f>
        <v>こ/こう　喉痺之針穴　1613　古今集鍼法　長生庵了味か.jpg</v>
      </c>
    </row>
    <row r="1881" spans="1:2" x14ac:dyDescent="0.15">
      <c r="A1881" t="s">
        <v>1860</v>
      </c>
      <c r="B1881" t="str">
        <f>HYPERLINK("こ/こう　喉痺咽痛　●手足陽明少陽脈動発喉痺咽痛　第八　0300　鍼灸甲乙経　皇甫謐.jpg")</f>
        <v>こ/こう　喉痺咽痛　●手足陽明少陽脈動発喉痺咽痛　第八　0300　鍼灸甲乙経　皇甫謐.jpg</v>
      </c>
    </row>
    <row r="1882" spans="1:2" x14ac:dyDescent="0.15">
      <c r="A1882" t="s">
        <v>1861</v>
      </c>
      <c r="B1882" t="str">
        <f>HYPERLINK("こ/こう　喉痺奇兪　1703　鍼灸阿是要穴　岡本一抱.jpg")</f>
        <v>こ/こう　喉痺奇兪　1703　鍼灸阿是要穴　岡本一抱.jpg</v>
      </c>
    </row>
    <row r="1883" spans="1:2" x14ac:dyDescent="0.15">
      <c r="A1883" t="s">
        <v>1862</v>
      </c>
      <c r="B1883" t="str">
        <f>HYPERLINK("こ/こう　喉痺奇穴　1758　灸ぜつ塩土伝　三宅意安_ページ_1.jpg")</f>
        <v>こ/こう　喉痺奇穴　1758　灸ぜつ塩土伝　三宅意安_ページ_1.jpg</v>
      </c>
    </row>
    <row r="1884" spans="1:2" x14ac:dyDescent="0.15">
      <c r="A1884" t="s">
        <v>1863</v>
      </c>
      <c r="B1884" t="str">
        <f>HYPERLINK("こ/こう　喉痺奇穴　1758　灸ぜつ塩土伝　三宅意安_ページ_2.jpg")</f>
        <v>こ/こう　喉痺奇穴　1758　灸ぜつ塩土伝　三宅意安_ページ_2.jpg</v>
      </c>
    </row>
    <row r="1885" spans="1:2" x14ac:dyDescent="0.15">
      <c r="A1885" t="s">
        <v>1864</v>
      </c>
      <c r="B1885" t="str">
        <f>HYPERLINK("こ/こう　喉痺（こうひ）　にわかに咽喉（のんど）のはれふさがる　1780　鍼灸極秘伝　木村太沖.jpg")</f>
        <v>こ/こう　喉痺（こうひ）　にわかに咽喉（のんど）のはれふさがる　1780　鍼灸極秘伝　木村太沖.jpg</v>
      </c>
    </row>
    <row r="1886" spans="1:2" x14ac:dyDescent="0.15">
      <c r="A1886" t="s">
        <v>1865</v>
      </c>
      <c r="B1886" t="str">
        <f>HYPERLINK("こ/こう　喉風（こうふう）　のどけ　咽喉加多児（カタル）　1887（明治20）　鍼灸備要　青山道醇.jpg")</f>
        <v>こ/こう　喉風（こうふう）　のどけ　咽喉加多児（カタル）　1887（明治20）　鍼灸備要　青山道醇.jpg</v>
      </c>
    </row>
    <row r="1887" spans="1:2" x14ac:dyDescent="0.15">
      <c r="A1887" t="s">
        <v>1866</v>
      </c>
      <c r="B1887" t="str">
        <f>HYPERLINK("こ/こう　拘攣　0300　●八虚受痛発拘攣　第三　鍼灸甲乙経　皇甫謐.jpg")</f>
        <v>こ/こう　拘攣　0300　●八虚受痛発拘攣　第三　鍼灸甲乙経　皇甫謐.jpg</v>
      </c>
    </row>
    <row r="1888" spans="1:2" x14ac:dyDescent="0.15">
      <c r="A1888" t="s">
        <v>1867</v>
      </c>
      <c r="B1888" t="str">
        <f>HYPERLINK("こ/こう　睾丸打欲絶　成書年未詳　灸穴集　著者未詳.jpg")</f>
        <v>こ/こう　睾丸打欲絶　成書年未詳　灸穴集　著者未詳.jpg</v>
      </c>
    </row>
    <row r="1889" spans="1:2" x14ac:dyDescent="0.15">
      <c r="A1889" t="s">
        <v>1868</v>
      </c>
      <c r="B1889" t="str">
        <f>HYPERLINK("こ/こう　紅絲疔　1773　鍼灸手引草　大簡室主人_ページ_1.jpg")</f>
        <v>こ/こう　紅絲疔　1773　鍼灸手引草　大簡室主人_ページ_1.jpg</v>
      </c>
    </row>
    <row r="1890" spans="1:2" x14ac:dyDescent="0.15">
      <c r="A1890" t="s">
        <v>1869</v>
      </c>
      <c r="B1890" t="str">
        <f>HYPERLINK("こ/こう　紅絲疔　1773　鍼灸手引草　大簡室主人_ページ_2.jpg")</f>
        <v>こ/こう　紅絲疔　1773　鍼灸手引草　大簡室主人_ページ_2.jpg</v>
      </c>
    </row>
    <row r="1891" spans="1:2" x14ac:dyDescent="0.15">
      <c r="A1891" t="s">
        <v>1870</v>
      </c>
      <c r="B1891" t="str">
        <f>HYPERLINK("こ/こう　紅絲疔　1773　鍼灸手引草　大簡室主人_ページ_3.jpg")</f>
        <v>こ/こう　紅絲疔　1773　鍼灸手引草　大簡室主人_ページ_3.jpg</v>
      </c>
    </row>
    <row r="1892" spans="1:2" x14ac:dyDescent="0.15">
      <c r="A1892" t="s">
        <v>1871</v>
      </c>
      <c r="B1892" t="str">
        <f>HYPERLINK("こ/こう　行遅　1669　鍼灸枢要　山本玄通.jpg")</f>
        <v>こ/こう　行遅　1669　鍼灸枢要　山本玄通.jpg</v>
      </c>
    </row>
    <row r="1893" spans="1:2" x14ac:dyDescent="0.15">
      <c r="A1893" t="s">
        <v>1872</v>
      </c>
      <c r="B1893" t="str">
        <f>HYPERLINK("こ/こう　行遅髪遅之論　1693　鍼灸要歌集　安井昌玄.jpg")</f>
        <v>こ/こう　行遅髪遅之論　1693　鍼灸要歌集　安井昌玄.jpg</v>
      </c>
    </row>
    <row r="1894" spans="1:2" x14ac:dyDescent="0.15">
      <c r="A1894" t="s">
        <v>1873</v>
      </c>
      <c r="B1894" t="str">
        <f>HYPERLINK("こ/こう　項強　1794　杉山流鍼術　島浦和田一.jpg")</f>
        <v>こ/こう　項強　1794　杉山流鍼術　島浦和田一.jpg</v>
      </c>
    </row>
    <row r="1895" spans="1:2" x14ac:dyDescent="0.15">
      <c r="A1895" t="s">
        <v>1874</v>
      </c>
      <c r="B1895" t="str">
        <f>HYPERLINK("こ/こう　項強　1794　杉山流鍼術　島浦和田一_ページ_1.jpg")</f>
        <v>こ/こう　項強　1794　杉山流鍼術　島浦和田一_ページ_1.jpg</v>
      </c>
    </row>
    <row r="1896" spans="1:2" x14ac:dyDescent="0.15">
      <c r="A1896" t="s">
        <v>1875</v>
      </c>
      <c r="B1896" t="str">
        <f>HYPERLINK("こ/こう　項強　1794　杉山流鍼術　島浦和田一_ページ_2.jpg")</f>
        <v>こ/こう　項強　1794　杉山流鍼術　島浦和田一_ページ_2.jpg</v>
      </c>
    </row>
    <row r="1897" spans="1:2" x14ac:dyDescent="0.15">
      <c r="A1897" t="s">
        <v>1876</v>
      </c>
      <c r="B1897" t="str">
        <f>HYPERLINK("こ/こう　項病　0650　千金方　孫思ばく.jpg")</f>
        <v>こ/こう　項病　0650　千金方　孫思ばく.jpg</v>
      </c>
    </row>
    <row r="1898" spans="1:2" x14ac:dyDescent="0.15">
      <c r="A1898" t="s">
        <v>1877</v>
      </c>
      <c r="B1898" t="str">
        <f>HYPERLINK("こ/こう　項軟（小児）　1669　鍼灸枢要　山本玄通.jpg")</f>
        <v>こ/こう　項軟（小児）　1669　鍼灸枢要　山本玄通.jpg</v>
      </c>
    </row>
    <row r="1899" spans="1:2" x14ac:dyDescent="0.15">
      <c r="A1899" t="s">
        <v>1878</v>
      </c>
      <c r="B1899" t="str">
        <f>HYPERLINK("こ/こう　項頚　1794　杉山流鍼術　島浦和田一.jpg")</f>
        <v>こ/こう　項頚　1794　杉山流鍼術　島浦和田一.jpg</v>
      </c>
    </row>
    <row r="1900" spans="1:2" x14ac:dyDescent="0.15">
      <c r="A1900" t="s">
        <v>1879</v>
      </c>
      <c r="B1900" t="str">
        <f>HYPERLINK("こ/こく　穀道無孔　1686　鍼灸要法指南　岩田利斎_ページ_1.jpg")</f>
        <v>こ/こく　穀道無孔　1686　鍼灸要法指南　岩田利斎_ページ_1.jpg</v>
      </c>
    </row>
    <row r="1901" spans="1:2" x14ac:dyDescent="0.15">
      <c r="A1901" t="s">
        <v>1880</v>
      </c>
      <c r="B1901" t="str">
        <f>HYPERLINK("こ/こく　穀道無孔　1686　鍼灸要法指南　岩田利斎_ページ_2.jpg")</f>
        <v>こ/こく　穀道無孔　1686　鍼灸要法指南　岩田利斎_ページ_2.jpg</v>
      </c>
    </row>
    <row r="1902" spans="1:2" x14ac:dyDescent="0.15">
      <c r="A1902" t="s">
        <v>1881</v>
      </c>
      <c r="B1902" t="str">
        <f>HYPERLINK("こ/こく　穀道無孔　1693　鍼灸要歌集　安井昌玄.jpg")</f>
        <v>こ/こく　穀道無孔　1693　鍼灸要歌集　安井昌玄.jpg</v>
      </c>
    </row>
    <row r="1903" spans="1:2" x14ac:dyDescent="0.15">
      <c r="A1903" t="s">
        <v>1882</v>
      </c>
      <c r="B1903" t="str">
        <f>HYPERLINK("こ/こつ　骨疼（骨髄）　1220　鍼灸資生経　王執中.jpg")</f>
        <v>こ/こつ　骨疼（骨髄）　1220　鍼灸資生経　王執中.jpg</v>
      </c>
    </row>
    <row r="1904" spans="1:2" x14ac:dyDescent="0.15">
      <c r="A1904" t="s">
        <v>1883</v>
      </c>
      <c r="B1904" t="str">
        <f>HYPERLINK("こ/こつ　骨疽　1226　備急灸法　宋・聞人耆年.jpg")</f>
        <v>こ/こつ　骨疽　1226　備急灸法　宋・聞人耆年.jpg</v>
      </c>
    </row>
    <row r="1905" spans="1:2" x14ac:dyDescent="0.15">
      <c r="A1905" t="s">
        <v>1884</v>
      </c>
      <c r="B1905" t="str">
        <f>HYPERLINK("こ/こつ　骨蒸　1220　二十種　鍼灸資生経　王執中_ページ_1.jpg")</f>
        <v>こ/こつ　骨蒸　1220　二十種　鍼灸資生経　王執中_ページ_1.jpg</v>
      </c>
    </row>
    <row r="1906" spans="1:2" x14ac:dyDescent="0.15">
      <c r="A1906" t="s">
        <v>1885</v>
      </c>
      <c r="B1906" t="str">
        <f>HYPERLINK("こ/こつ　骨蒸　1220　二十種　鍼灸資生経　王執中_ページ_2.jpg")</f>
        <v>こ/こつ　骨蒸　1220　二十種　鍼灸資生経　王執中_ページ_2.jpg</v>
      </c>
    </row>
    <row r="1907" spans="1:2" x14ac:dyDescent="0.15">
      <c r="A1907" t="s">
        <v>1886</v>
      </c>
      <c r="B1907" t="str">
        <f>HYPERLINK("ご/ご　五労七傷　咳嗽　1758　灸ぜつ塩土伝　三宅意安_ページ_1.jpg")</f>
        <v>ご/ご　五労七傷　咳嗽　1758　灸ぜつ塩土伝　三宅意安_ページ_1.jpg</v>
      </c>
    </row>
    <row r="1908" spans="1:2" x14ac:dyDescent="0.15">
      <c r="A1908" t="s">
        <v>1887</v>
      </c>
      <c r="B1908" t="str">
        <f>HYPERLINK("ご/ご　五労七傷　咳嗽　1758　灸ぜつ塩土伝　三宅意安_ページ_2.jpg")</f>
        <v>ご/ご　五労七傷　咳嗽　1758　灸ぜつ塩土伝　三宅意安_ページ_2.jpg</v>
      </c>
    </row>
    <row r="1909" spans="1:2" x14ac:dyDescent="0.15">
      <c r="A1909" t="s">
        <v>1888</v>
      </c>
      <c r="B1909" t="str">
        <f>HYPERLINK("ご/ご　五労七傷　咳嗽　1758　灸ぜつ塩土伝　三宅意安_ページ_3.jpg")</f>
        <v>ご/ご　五労七傷　咳嗽　1758　灸ぜつ塩土伝　三宅意安_ページ_3.jpg</v>
      </c>
    </row>
    <row r="1910" spans="1:2" x14ac:dyDescent="0.15">
      <c r="A1910" t="s">
        <v>1889</v>
      </c>
      <c r="B1910" t="str">
        <f>HYPERLINK("ご/ご　五噎，黄たん，酢心，多睡，嘔吐不止　1315　鍼経摘英集　元・杜思敬「済生抜粋方」.jpg")</f>
        <v>ご/ご　五噎，黄たん，酢心，多睡，嘔吐不止　1315　鍼経摘英集　元・杜思敬「済生抜粋方」.jpg</v>
      </c>
    </row>
    <row r="1911" spans="1:2" x14ac:dyDescent="0.15">
      <c r="A1911" t="s">
        <v>1890</v>
      </c>
      <c r="B1911" t="str">
        <f>HYPERLINK("ご/ご　五条　1758　灸ぜつ塩土伝　三宅意安_ページ_1.jpg")</f>
        <v>ご/ご　五条　1758　灸ぜつ塩土伝　三宅意安_ページ_1.jpg</v>
      </c>
    </row>
    <row r="1912" spans="1:2" x14ac:dyDescent="0.15">
      <c r="A1912" t="s">
        <v>1891</v>
      </c>
      <c r="B1912" t="str">
        <f>HYPERLINK("ご/ご　五条　1758　灸ぜつ塩土伝　三宅意安_ページ_2.jpg")</f>
        <v>ご/ご　五条　1758　灸ぜつ塩土伝　三宅意安_ページ_2.jpg</v>
      </c>
    </row>
    <row r="1913" spans="1:2" x14ac:dyDescent="0.15">
      <c r="A1913" t="s">
        <v>1892</v>
      </c>
      <c r="B1913" t="str">
        <f>HYPERLINK("ご/ご　五条　1758　灸ぜつ塩土伝　三宅意安_ページ_3.jpg")</f>
        <v>ご/ご　五条　1758　灸ぜつ塩土伝　三宅意安_ページ_3.jpg</v>
      </c>
    </row>
    <row r="1914" spans="1:2" x14ac:dyDescent="0.15">
      <c r="A1914" t="s">
        <v>1893</v>
      </c>
      <c r="B1914" t="str">
        <f>HYPERLINK("ご/ご　五条　1758　灸ぜつ塩土伝　三宅意安_ページ_4.jpg")</f>
        <v>ご/ご　五条　1758　灸ぜつ塩土伝　三宅意安_ページ_4.jpg</v>
      </c>
    </row>
    <row r="1915" spans="1:2" x14ac:dyDescent="0.15">
      <c r="A1915" t="s">
        <v>1894</v>
      </c>
      <c r="B1915" t="str">
        <f>HYPERLINK("ご/ご　五条　1758　灸ぜつ塩土伝　三宅意安_ページ_5.jpg")</f>
        <v>ご/ご　五条　1758　灸ぜつ塩土伝　三宅意安_ページ_5.jpg</v>
      </c>
    </row>
    <row r="1916" spans="1:2" x14ac:dyDescent="0.15">
      <c r="A1916" t="s">
        <v>1895</v>
      </c>
      <c r="B1916" t="str">
        <f>HYPERLINK("ご/ご　五条　1758　灸ぜつ塩土伝　三宅意安_ページ_6.jpg")</f>
        <v>ご/ご　五条　1758　灸ぜつ塩土伝　三宅意安_ページ_6.jpg</v>
      </c>
    </row>
    <row r="1917" spans="1:2" x14ac:dyDescent="0.15">
      <c r="A1917" t="s">
        <v>1896</v>
      </c>
      <c r="B1917" t="str">
        <f>HYPERLINK("ご/ご　五膈気喘息不止　1315　鍼経摘英集　元・杜思敬「済生抜粋方」_ページ_1.jpg")</f>
        <v>ご/ご　五膈気喘息不止　1315　鍼経摘英集　元・杜思敬「済生抜粋方」_ページ_1.jpg</v>
      </c>
    </row>
    <row r="1918" spans="1:2" x14ac:dyDescent="0.15">
      <c r="A1918" t="s">
        <v>1897</v>
      </c>
      <c r="B1918" t="str">
        <f>HYPERLINK("ご/ご　五膈気喘息不止　1315　鍼経摘英集　元・杜思敬「済生抜粋方」_ページ_2.jpg")</f>
        <v>ご/ご　五膈気喘息不止　1315　鍼経摘英集　元・杜思敬「済生抜粋方」_ページ_2.jpg</v>
      </c>
    </row>
    <row r="1919" spans="1:2" x14ac:dyDescent="0.15">
      <c r="A1919" t="s">
        <v>1898</v>
      </c>
      <c r="B1919" t="str">
        <f>HYPERLINK("ご/ご　五臓六腑補瀉之法　1792　鍼法要集　源長起_ページ_1.jpg")</f>
        <v>ご/ご　五臓六腑補瀉之法　1792　鍼法要集　源長起_ページ_1.jpg</v>
      </c>
    </row>
    <row r="1920" spans="1:2" x14ac:dyDescent="0.15">
      <c r="A1920" t="s">
        <v>1899</v>
      </c>
      <c r="B1920" t="str">
        <f>HYPERLINK("ご/ご　五臓六腑補瀉之法　1792　鍼法要集　源長起_ページ_2.jpg")</f>
        <v>ご/ご　五臓六腑補瀉之法　1792　鍼法要集　源長起_ページ_2.jpg</v>
      </c>
    </row>
    <row r="1921" spans="1:2" x14ac:dyDescent="0.15">
      <c r="A1921" t="s">
        <v>1900</v>
      </c>
      <c r="B1921" t="str">
        <f>HYPERLINK("ご/ご　五臓六腑補瀉之法　1792　鍼法要集　源長起_ページ_3.jpg")</f>
        <v>ご/ご　五臓六腑補瀉之法　1792　鍼法要集　源長起_ページ_3.jpg</v>
      </c>
    </row>
    <row r="1922" spans="1:2" x14ac:dyDescent="0.15">
      <c r="A1922" t="s">
        <v>1901</v>
      </c>
      <c r="B1922" t="str">
        <f>HYPERLINK("ご/ご　五臓六腑補瀉之法　1792　鍼法要集　源長起_ページ_4.jpg")</f>
        <v>ご/ご　五臓六腑補瀉之法　1792　鍼法要集　源長起_ページ_4.jpg</v>
      </c>
    </row>
    <row r="1923" spans="1:2" x14ac:dyDescent="0.15">
      <c r="A1923" t="s">
        <v>1902</v>
      </c>
      <c r="B1923" t="str">
        <f>HYPERLINK("ご/ご　語遅　1669　鍼灸枢要　山本玄通_ページ_1.jpg")</f>
        <v>ご/ご　語遅　1669　鍼灸枢要　山本玄通_ページ_1.jpg</v>
      </c>
    </row>
    <row r="1924" spans="1:2" x14ac:dyDescent="0.15">
      <c r="A1924" t="s">
        <v>1903</v>
      </c>
      <c r="B1924" t="str">
        <f>HYPERLINK("ご/ご　語遅　1669　鍼灸枢要　山本玄通_ページ_2.jpg")</f>
        <v>ご/ご　語遅　1669　鍼灸枢要　山本玄通_ページ_2.jpg</v>
      </c>
    </row>
    <row r="1925" spans="1:2" x14ac:dyDescent="0.15">
      <c r="A1925" t="s">
        <v>1904</v>
      </c>
      <c r="B1925" t="str">
        <f>HYPERLINK("ご/ご　語遅　1686　鍼灸要法指南　岩田利斎.jpg")</f>
        <v>ご/ご　語遅　1686　鍼灸要法指南　岩田利斎.jpg</v>
      </c>
    </row>
    <row r="1926" spans="1:2" x14ac:dyDescent="0.15">
      <c r="A1926" t="s">
        <v>1905</v>
      </c>
      <c r="B1926" t="str">
        <f>HYPERLINK("ご/ご　誤呑諸物　1686　鍼灸要法指南　岩田利斎.jpg")</f>
        <v>ご/ご　誤呑諸物　1686　鍼灸要法指南　岩田利斎.jpg</v>
      </c>
    </row>
    <row r="1927" spans="1:2" x14ac:dyDescent="0.15">
      <c r="A1927" t="s">
        <v>1906</v>
      </c>
      <c r="B1927" t="str">
        <f>HYPERLINK("さ/さい　さい疾　1224　医説　宋・張杲_ページ_1.jpg")</f>
        <v>さ/さい　さい疾　1224　医説　宋・張杲_ページ_1.jpg</v>
      </c>
    </row>
    <row r="1928" spans="1:2" x14ac:dyDescent="0.15">
      <c r="A1928" t="s">
        <v>1907</v>
      </c>
      <c r="B1928" t="str">
        <f>HYPERLINK("さ/さい　さい疾　1224　医説　宋・張杲_ページ_2.jpg")</f>
        <v>さ/さい　さい疾　1224　医説　宋・張杲_ページ_2.jpg</v>
      </c>
    </row>
    <row r="1929" spans="1:2" x14ac:dyDescent="0.15">
      <c r="A1929" t="s">
        <v>1908</v>
      </c>
      <c r="B1929" t="str">
        <f>HYPERLINK("さ/さい　催生　はやめ　1686　鍼灸要法指南　岩田利斎.jpg")</f>
        <v>さ/さい　催生　はやめ　1686　鍼灸要法指南　岩田利斎.jpg</v>
      </c>
    </row>
    <row r="1930" spans="1:2" x14ac:dyDescent="0.15">
      <c r="A1930" t="s">
        <v>1909</v>
      </c>
      <c r="B1930" t="str">
        <f>HYPERLINK("さ/さい　催生　はやめ　1765　鍼法弁惑　藤井秀孟.jpg")</f>
        <v>さ/さい　催生　はやめ　1765　鍼法弁惑　藤井秀孟.jpg</v>
      </c>
    </row>
    <row r="1931" spans="1:2" x14ac:dyDescent="0.15">
      <c r="A1931" t="s">
        <v>1910</v>
      </c>
      <c r="B1931" t="str">
        <f>HYPERLINK("さ/さい　温臍種子方　1807　続名家灸選　平井庸信_ページ_1.jpg")</f>
        <v>さ/さい　温臍種子方　1807　続名家灸選　平井庸信_ページ_1.jpg</v>
      </c>
    </row>
    <row r="1932" spans="1:2" x14ac:dyDescent="0.15">
      <c r="A1932" t="s">
        <v>1911</v>
      </c>
      <c r="B1932" t="str">
        <f>HYPERLINK("さ/さい　温臍種子方　1807　続名家灸選　平井庸信_ページ_2.jpg")</f>
        <v>さ/さい　温臍種子方　1807　続名家灸選　平井庸信_ページ_2.jpg</v>
      </c>
    </row>
    <row r="1933" spans="1:2" x14ac:dyDescent="0.15">
      <c r="A1933" t="s">
        <v>1912</v>
      </c>
      <c r="B1933" t="str">
        <f>HYPERLINK("さ/さい　臍下の結塊、伏杯の如き者　へその下のかたまり、手にあたる事こぶしを入るるごとし　1780　鍼灸極秘伝　木村太沖.jpg")</f>
        <v>さ/さい　臍下の結塊、伏杯の如き者　へその下のかたまり、手にあたる事こぶしを入るるごとし　1780　鍼灸極秘伝　木村太沖.jpg</v>
      </c>
    </row>
    <row r="1934" spans="1:2" x14ac:dyDescent="0.15">
      <c r="A1934" t="s">
        <v>1913</v>
      </c>
      <c r="B1934" t="str">
        <f>HYPERLINK("さ/さい　臍痛　1220　鍼灸資生経　王執中_ページ_1.jpg")</f>
        <v>さ/さい　臍痛　1220　鍼灸資生経　王執中_ページ_1.jpg</v>
      </c>
    </row>
    <row r="1935" spans="1:2" x14ac:dyDescent="0.15">
      <c r="A1935" t="s">
        <v>1914</v>
      </c>
      <c r="B1935" t="str">
        <f>HYPERLINK("さ/さい　臍痛　1220　鍼灸資生経　王執中_ページ_2.jpg")</f>
        <v>さ/さい　臍痛　1220　鍼灸資生経　王執中_ページ_2.jpg</v>
      </c>
    </row>
    <row r="1936" spans="1:2" x14ac:dyDescent="0.15">
      <c r="A1936" t="s">
        <v>1915</v>
      </c>
      <c r="B1936" t="str">
        <f>HYPERLINK("さ/さい　臍腫　成書年未詳　灸穴集　著者未詳.jpg")</f>
        <v>さ/さい　臍腫　成書年未詳　灸穴集　著者未詳.jpg</v>
      </c>
    </row>
    <row r="1937" spans="1:2" x14ac:dyDescent="0.15">
      <c r="A1937" t="s">
        <v>1916</v>
      </c>
      <c r="B1937" t="str">
        <f>HYPERLINK("さ/さい　臍風　1224　医説　宋・張杲.jpg")</f>
        <v>さ/さい　臍風　1224　医説　宋・張杲.jpg</v>
      </c>
    </row>
    <row r="1938" spans="1:2" x14ac:dyDescent="0.15">
      <c r="A1938" t="s">
        <v>1917</v>
      </c>
      <c r="B1938" t="str">
        <f>HYPERLINK("さ/さい　臍風撮口　1686　鍼灸要法指南　岩田利斎.jpg")</f>
        <v>さ/さい　臍風撮口　1686　鍼灸要法指南　岩田利斎.jpg</v>
      </c>
    </row>
    <row r="1939" spans="1:2" x14ac:dyDescent="0.15">
      <c r="A1939" t="s">
        <v>1918</v>
      </c>
      <c r="B1939" t="str">
        <f>HYPERLINK("さ/さい　臍風撮口　1693　鍼灸要歌集　安井昌玄_ページ_1.jpg")</f>
        <v>さ/さい　臍風撮口　1693　鍼灸要歌集　安井昌玄_ページ_1.jpg</v>
      </c>
    </row>
    <row r="1940" spans="1:2" x14ac:dyDescent="0.15">
      <c r="A1940" t="s">
        <v>1919</v>
      </c>
      <c r="B1940" t="str">
        <f>HYPERLINK("さ/さい　臍風撮口　1693　鍼灸要歌集　安井昌玄_ページ_2.jpg")</f>
        <v>さ/さい　臍風撮口　1693　鍼灸要歌集　安井昌玄_ページ_2.jpg</v>
      </c>
    </row>
    <row r="1941" spans="1:2" x14ac:dyDescent="0.15">
      <c r="A1941" t="s">
        <v>1920</v>
      </c>
      <c r="B1941" t="str">
        <f>HYPERLINK("さ/さい　臍風撮口　1694　選鍼三要集　杉山和一.jpg")</f>
        <v>さ/さい　臍風撮口　1694　選鍼三要集　杉山和一.jpg</v>
      </c>
    </row>
    <row r="1942" spans="1:2" x14ac:dyDescent="0.15">
      <c r="A1942" t="s">
        <v>1921</v>
      </c>
      <c r="B1942" t="str">
        <f>HYPERLINK("さ/さい　臍風撮口　成書年未詳　灸穴集　著者未詳.jpg")</f>
        <v>さ/さい　臍風撮口　成書年未詳　灸穴集　著者未詳.jpg</v>
      </c>
    </row>
    <row r="1943" spans="1:2" x14ac:dyDescent="0.15">
      <c r="A1943" t="s">
        <v>1922</v>
      </c>
      <c r="B1943" t="str">
        <f>HYPERLINK("さ/さい　臍風撮口（さいふうさつこう）　つぼくち　又、ほほづきむし　小児強直痙攣　1887（明治20）　鍼灸備要　青山道醇.jpg")</f>
        <v>さ/さい　臍風撮口（さいふうさつこう）　つぼくち　又、ほほづきむし　小児強直痙攣　1887（明治20）　鍼灸備要　青山道醇.jpg</v>
      </c>
    </row>
    <row r="1944" spans="1:2" x14ac:dyDescent="0.15">
      <c r="A1944" t="s">
        <v>1923</v>
      </c>
      <c r="B1944" t="str">
        <f>HYPERLINK("さ/さけ　酒を止むる事　1607　扁鵲新流鍼書　越齋寿閑.jpg")</f>
        <v>さ/さけ　酒を止むる事　1607　扁鵲新流鍼書　越齋寿閑.jpg</v>
      </c>
    </row>
    <row r="1945" spans="1:2" x14ac:dyDescent="0.15">
      <c r="A1945" t="s">
        <v>1924</v>
      </c>
      <c r="B1945" t="str">
        <f>HYPERLINK("さ/さけ　酒酔　成書年未詳　灸穴集　著者未詳.jpg")</f>
        <v>さ/さけ　酒酔　成書年未詳　灸穴集　著者未詳.jpg</v>
      </c>
    </row>
    <row r="1946" spans="1:2" x14ac:dyDescent="0.15">
      <c r="A1946" t="s">
        <v>1925</v>
      </c>
      <c r="B1946" t="str">
        <f>HYPERLINK("さ/さん　三焦　1329　扁鵲神応鍼灸玉龍経　元・王国瑞.jpg")</f>
        <v>さ/さん　三焦　1329　扁鵲神応鍼灸玉龍経　元・王国瑞.jpg</v>
      </c>
    </row>
    <row r="1947" spans="1:2" x14ac:dyDescent="0.15">
      <c r="A1947" t="s">
        <v>1926</v>
      </c>
      <c r="B1947" t="str">
        <f>HYPERLINK("さ/さん　産前　1694　療治之大概集　杉山和一.jpg")</f>
        <v>さ/さん　産前　1694　療治之大概集　杉山和一.jpg</v>
      </c>
    </row>
    <row r="1948" spans="1:2" x14ac:dyDescent="0.15">
      <c r="A1948" t="s">
        <v>1927</v>
      </c>
      <c r="B1948" t="str">
        <f>HYPERLINK("さ/さん　産前後諸病灸法　成書年未詳　灸穴集　著者未詳.jpg")</f>
        <v>さ/さん　産前後諸病灸法　成書年未詳　灸穴集　著者未詳.jpg</v>
      </c>
    </row>
    <row r="1949" spans="1:2" x14ac:dyDescent="0.15">
      <c r="A1949" t="s">
        <v>1928</v>
      </c>
      <c r="B1949" t="str">
        <f>HYPERLINK("さ/さん　産前臨産　1792　鍼法要集　源長起_ページ_1.jpg")</f>
        <v>さ/さん　産前臨産　1792　鍼法要集　源長起_ページ_1.jpg</v>
      </c>
    </row>
    <row r="1950" spans="1:2" x14ac:dyDescent="0.15">
      <c r="A1950" t="s">
        <v>1929</v>
      </c>
      <c r="B1950" t="str">
        <f>HYPERLINK("さ/さん　産前臨産　1792　鍼法要集　源長起_ページ_2.jpg")</f>
        <v>さ/さん　産前臨産　1792　鍼法要集　源長起_ページ_2.jpg</v>
      </c>
    </row>
    <row r="1951" spans="1:2" x14ac:dyDescent="0.15">
      <c r="A1951" t="s">
        <v>1930</v>
      </c>
      <c r="B1951" t="str">
        <f>HYPERLINK("さ/さん　産前臨産　1792　鍼法要集　源長起_ページ_3.jpg")</f>
        <v>さ/さん　産前臨産　1792　鍼法要集　源長起_ページ_3.jpg</v>
      </c>
    </row>
    <row r="1952" spans="1:2" x14ac:dyDescent="0.15">
      <c r="A1952" t="s">
        <v>1931</v>
      </c>
      <c r="B1952" t="str">
        <f>HYPERLINK("さ/さん　産婦血運不省人事　1315　鍼経摘英集　元・杜思敬「済生抜粋方」.jpg")</f>
        <v>さ/さん　産婦血運不省人事　1315　鍼経摘英集　元・杜思敬「済生抜粋方」.jpg</v>
      </c>
    </row>
    <row r="1953" spans="1:2" x14ac:dyDescent="0.15">
      <c r="A1953" t="s">
        <v>1932</v>
      </c>
      <c r="B1953" t="str">
        <f>HYPERLINK("さ/さん　産子上逼心　1315　鍼経摘英集　元・杜思敬「済生抜粋方」.jpg")</f>
        <v>さ/さん　産子上逼心　1315　鍼経摘英集　元・杜思敬「済生抜粋方」.jpg</v>
      </c>
    </row>
    <row r="1954" spans="1:2" x14ac:dyDescent="0.15">
      <c r="A1954" t="s">
        <v>1933</v>
      </c>
      <c r="B1954" t="str">
        <f>HYPERLINK("さ/さん　産後　01　1694　療治之大概集　杉山和一.jpg")</f>
        <v>さ/さん　産後　01　1694　療治之大概集　杉山和一.jpg</v>
      </c>
    </row>
    <row r="1955" spans="1:2" x14ac:dyDescent="0.15">
      <c r="A1955" t="s">
        <v>1934</v>
      </c>
      <c r="B1955" t="str">
        <f>HYPERLINK("さ/さん　産後　02　1694　療治之大概集　杉山和一.jpg")</f>
        <v>さ/さん　産後　02　1694　療治之大概集　杉山和一.jpg</v>
      </c>
    </row>
    <row r="1956" spans="1:2" x14ac:dyDescent="0.15">
      <c r="A1956" t="s">
        <v>1935</v>
      </c>
      <c r="B1956" t="str">
        <f>HYPERLINK("さ/さん　産後　1607　扁鵲新流鍼書　越齋寿閑.jpg")</f>
        <v>さ/さん　産後　1607　扁鵲新流鍼書　越齋寿閑.jpg</v>
      </c>
    </row>
    <row r="1957" spans="1:2" x14ac:dyDescent="0.15">
      <c r="A1957" t="s">
        <v>1936</v>
      </c>
      <c r="B1957" t="str">
        <f>HYPERLINK("さ/さん　産後　1669　鍼灸枢要　山本玄通_ページ_1.jpg")</f>
        <v>さ/さん　産後　1669　鍼灸枢要　山本玄通_ページ_1.jpg</v>
      </c>
    </row>
    <row r="1958" spans="1:2" x14ac:dyDescent="0.15">
      <c r="A1958" t="s">
        <v>1937</v>
      </c>
      <c r="B1958" t="str">
        <f>HYPERLINK("さ/さん　産後　1669　鍼灸枢要　山本玄通_ページ_2.jpg")</f>
        <v>さ/さん　産後　1669　鍼灸枢要　山本玄通_ページ_2.jpg</v>
      </c>
    </row>
    <row r="1959" spans="1:2" x14ac:dyDescent="0.15">
      <c r="A1959" t="s">
        <v>1938</v>
      </c>
      <c r="B1959" t="str">
        <f>HYPERLINK("さ/さん　産後　1669　鍼灸枢要　山本玄通_ページ_3.jpg")</f>
        <v>さ/さん　産後　1669　鍼灸枢要　山本玄通_ページ_3.jpg</v>
      </c>
    </row>
    <row r="1960" spans="1:2" x14ac:dyDescent="0.15">
      <c r="A1960" t="s">
        <v>1939</v>
      </c>
      <c r="B1960" t="str">
        <f>HYPERLINK("さ/さん　産後　1694　鍼灸そかい集　高津敬節_ページ_1.jpg")</f>
        <v>さ/さん　産後　1694　鍼灸そかい集　高津敬節_ページ_1.jpg</v>
      </c>
    </row>
    <row r="1961" spans="1:2" x14ac:dyDescent="0.15">
      <c r="A1961" t="s">
        <v>1940</v>
      </c>
      <c r="B1961" t="str">
        <f>HYPERLINK("さ/さん　産後　1694　鍼灸そかい集　高津敬節_ページ_2.jpg")</f>
        <v>さ/さん　産後　1694　鍼灸そかい集　高津敬節_ページ_2.jpg</v>
      </c>
    </row>
    <row r="1962" spans="1:2" x14ac:dyDescent="0.15">
      <c r="A1962" t="s">
        <v>1941</v>
      </c>
      <c r="B1962" t="str">
        <f>HYPERLINK("さ/さん　産後　1718　鍼灸重宝記　本郷正豊_ページ_1.jpg")</f>
        <v>さ/さん　産後　1718　鍼灸重宝記　本郷正豊_ページ_1.jpg</v>
      </c>
    </row>
    <row r="1963" spans="1:2" x14ac:dyDescent="0.15">
      <c r="A1963" t="s">
        <v>1942</v>
      </c>
      <c r="B1963" t="str">
        <f>HYPERLINK("さ/さん　産後　1718　鍼灸重宝記　本郷正豊_ページ_2.jpg")</f>
        <v>さ/さん　産後　1718　鍼灸重宝記　本郷正豊_ページ_2.jpg</v>
      </c>
    </row>
    <row r="1964" spans="1:2" x14ac:dyDescent="0.15">
      <c r="A1964" t="s">
        <v>1943</v>
      </c>
      <c r="B1964" t="str">
        <f>HYPERLINK("さ/さん　産後　1773　鍼灸手引草　大簡室主人_ページ_1.jpg")</f>
        <v>さ/さん　産後　1773　鍼灸手引草　大簡室主人_ページ_1.jpg</v>
      </c>
    </row>
    <row r="1965" spans="1:2" x14ac:dyDescent="0.15">
      <c r="A1965" t="s">
        <v>1944</v>
      </c>
      <c r="B1965" t="str">
        <f>HYPERLINK("さ/さん　産後　1773　鍼灸手引草　大簡室主人_ページ_2.jpg")</f>
        <v>さ/さん　産後　1773　鍼灸手引草　大簡室主人_ページ_2.jpg</v>
      </c>
    </row>
    <row r="1966" spans="1:2" x14ac:dyDescent="0.15">
      <c r="A1966" t="s">
        <v>1945</v>
      </c>
      <c r="B1966" t="str">
        <f>HYPERLINK("さ/さん　産後　1773　鍼灸手引草　大簡室主人_ページ_3.jpg")</f>
        <v>さ/さん　産後　1773　鍼灸手引草　大簡室主人_ページ_3.jpg</v>
      </c>
    </row>
    <row r="1967" spans="1:2" x14ac:dyDescent="0.15">
      <c r="A1967" t="s">
        <v>1946</v>
      </c>
      <c r="B1967" t="str">
        <f>HYPERLINK("さ/さん　産後　　1792　鍼法要集　源長起_ページ_1.jpg")</f>
        <v>さ/さん　産後　　1792　鍼法要集　源長起_ページ_1.jpg</v>
      </c>
    </row>
    <row r="1968" spans="1:2" x14ac:dyDescent="0.15">
      <c r="A1968" t="s">
        <v>1947</v>
      </c>
      <c r="B1968" t="str">
        <f>HYPERLINK("さ/さん　産後　　1792　鍼法要集　源長起_ページ_2.jpg")</f>
        <v>さ/さん　産後　　1792　鍼法要集　源長起_ページ_2.jpg</v>
      </c>
    </row>
    <row r="1969" spans="1:2" x14ac:dyDescent="0.15">
      <c r="A1969" t="s">
        <v>1948</v>
      </c>
      <c r="B1969" t="str">
        <f>HYPERLINK("さ/さん　産後　　1792　鍼法要集　源長起_ページ_3.jpg")</f>
        <v>さ/さん　産後　　1792　鍼法要集　源長起_ページ_3.jpg</v>
      </c>
    </row>
    <row r="1970" spans="1:2" x14ac:dyDescent="0.15">
      <c r="A1970" t="s">
        <v>1949</v>
      </c>
      <c r="B1970" t="str">
        <f>HYPERLINK("さ/さん　産後、悪露下らず、胸腹痛み妨悶する者　おけつよく下りかねて、むねはらいたむ人　1780　鍼灸極秘伝　木村太沖.jpg")</f>
        <v>さ/さん　産後、悪露下らず、胸腹痛み妨悶する者　おけつよく下りかねて、むねはらいたむ人　1780　鍼灸極秘伝　木村太沖.jpg</v>
      </c>
    </row>
    <row r="1971" spans="1:2" x14ac:dyDescent="0.15">
      <c r="A1971" t="s">
        <v>1950</v>
      </c>
      <c r="B1971" t="str">
        <f>HYPERLINK("さ/さん　産後の血暈の気附　さんごのむり（無理）したる時　1780　鍼灸極秘伝　木村太沖.jpg")</f>
        <v>さ/さん　産後の血暈の気附　さんごのむり（無理）したる時　1780　鍼灸極秘伝　木村太沖.jpg</v>
      </c>
    </row>
    <row r="1972" spans="1:2" x14ac:dyDescent="0.15">
      <c r="A1972" t="s">
        <v>1951</v>
      </c>
      <c r="B1972" t="str">
        <f>HYPERLINK("さ/さん　産後余疾（産前）　1220　鍼灸資生経　王執中.jpg")</f>
        <v>さ/さん　産後余疾（産前）　1220　鍼灸資生経　王執中.jpg</v>
      </c>
    </row>
    <row r="1973" spans="1:2" x14ac:dyDescent="0.15">
      <c r="A1973" t="s">
        <v>1952</v>
      </c>
      <c r="B1973" t="str">
        <f>HYPERLINK("さ/さん　産後児枕痛　1693　鍼灸要歌集　安井昌玄.jpg")</f>
        <v>さ/さん　産後児枕痛　1693　鍼灸要歌集　安井昌玄.jpg</v>
      </c>
    </row>
    <row r="1974" spans="1:2" x14ac:dyDescent="0.15">
      <c r="A1974" t="s">
        <v>1953</v>
      </c>
      <c r="B1974" t="str">
        <f>HYPERLINK("さ/さん　産後児枕痛（しりはらいたむ）　1686　鍼灸要法指南　岩田利斎_ページ_1.jpg")</f>
        <v>さ/さん　産後児枕痛（しりはらいたむ）　1686　鍼灸要法指南　岩田利斎_ページ_1.jpg</v>
      </c>
    </row>
    <row r="1975" spans="1:2" x14ac:dyDescent="0.15">
      <c r="A1975" t="s">
        <v>1954</v>
      </c>
      <c r="B1975" t="str">
        <f>HYPERLINK("さ/さん　産後児枕痛（しりはらいたむ）　1686　鍼灸要法指南　岩田利斎_ページ_2.jpg")</f>
        <v>さ/さん　産後児枕痛（しりはらいたむ）　1686　鍼灸要法指南　岩田利斎_ページ_2.jpg</v>
      </c>
    </row>
    <row r="1976" spans="1:2" x14ac:dyDescent="0.15">
      <c r="A1976" t="s">
        <v>1955</v>
      </c>
      <c r="B1976" t="str">
        <f>HYPERLINK("さ/さん　産後手足穴厥逆　1767　鍼灸則　菅沼周桂_ページ_1.jpg")</f>
        <v>さ/さん　産後手足穴厥逆　1767　鍼灸則　菅沼周桂_ページ_1.jpg</v>
      </c>
    </row>
    <row r="1977" spans="1:2" x14ac:dyDescent="0.15">
      <c r="A1977" t="s">
        <v>1956</v>
      </c>
      <c r="B1977" t="str">
        <f>HYPERLINK("さ/さん　産後手足穴厥逆　1767　鍼灸則　菅沼周桂_ページ_2.jpg")</f>
        <v>さ/さん　産後手足穴厥逆　1767　鍼灸則　菅沼周桂_ページ_2.jpg</v>
      </c>
    </row>
    <row r="1978" spans="1:2" x14ac:dyDescent="0.15">
      <c r="A1978" t="s">
        <v>1957</v>
      </c>
      <c r="B1978" t="str">
        <f>HYPERLINK("さ/さん　産後腹痛　1767　鍼灸則　菅沼周桂.jpg")</f>
        <v>さ/さん　産後腹痛　1767　鍼灸則　菅沼周桂.jpg</v>
      </c>
    </row>
    <row r="1979" spans="1:2" x14ac:dyDescent="0.15">
      <c r="A1979" t="s">
        <v>1958</v>
      </c>
      <c r="B1979" t="str">
        <f>HYPERLINK("さ/さん　産後血暈　産後のちのぼり　1887（明治20）　鍼灸備要　青山道醇.jpg")</f>
        <v>さ/さん　産後血暈　産後のちのぼり　1887（明治20）　鍼灸備要　青山道醇.jpg</v>
      </c>
    </row>
    <row r="1980" spans="1:2" x14ac:dyDescent="0.15">
      <c r="A1980" t="s">
        <v>1959</v>
      </c>
      <c r="B1980" t="str">
        <f>HYPERLINK("さ/さん　産後血暈不識人　1767　鍼灸則　菅沼周桂.jpg")</f>
        <v>さ/さん　産後血暈不識人　1767　鍼灸則　菅沼周桂.jpg</v>
      </c>
    </row>
    <row r="1981" spans="1:2" x14ac:dyDescent="0.15">
      <c r="A1981" t="s">
        <v>1960</v>
      </c>
      <c r="B1981" t="str">
        <f>HYPERLINK("さ/さん　産後衄血　成書年未詳　灸穴集　著者未詳.jpg")</f>
        <v>さ/さん　産後衄血　成書年未詳　灸穴集　著者未詳.jpg</v>
      </c>
    </row>
    <row r="1982" spans="1:2" x14ac:dyDescent="0.15">
      <c r="A1982" t="s">
        <v>1961</v>
      </c>
      <c r="B1982" t="str">
        <f>HYPERLINK("さ/さん　産生理不順，或横或逆胎死腹中胞衣不下　1315　鍼経摘英集　元・杜思敬「済生抜粋方」.jpg")</f>
        <v>さ/さん　産生理不順，或横或逆胎死腹中胞衣不下　1315　鍼経摘英集　元・杜思敬「済生抜粋方」.jpg</v>
      </c>
    </row>
    <row r="1983" spans="1:2" x14ac:dyDescent="0.15">
      <c r="A1983" t="s">
        <v>1962</v>
      </c>
      <c r="B1983" t="str">
        <f>HYPERLINK("さ/さん　産科　1807　続名家灸選　平井庸信.jpg")</f>
        <v>さ/さん　産科　1807　続名家灸選　平井庸信.jpg</v>
      </c>
    </row>
    <row r="1984" spans="1:2" x14ac:dyDescent="0.15">
      <c r="A1984" t="s">
        <v>1963</v>
      </c>
      <c r="B1984" t="str">
        <f>HYPERLINK("さ/さん　産科　1813　名家灸選　浅井惟亨_ページ_1.jpg")</f>
        <v>さ/さん　産科　1813　名家灸選　浅井惟亨_ページ_1.jpg</v>
      </c>
    </row>
    <row r="1985" spans="1:2" x14ac:dyDescent="0.15">
      <c r="A1985" t="s">
        <v>1964</v>
      </c>
      <c r="B1985" t="str">
        <f>HYPERLINK("さ/さん　産科　1813　名家灸選　浅井惟亨_ページ_2.jpg")</f>
        <v>さ/さん　産科　1813　名家灸選　浅井惟亨_ページ_2.jpg</v>
      </c>
    </row>
    <row r="1986" spans="1:2" x14ac:dyDescent="0.15">
      <c r="A1986" t="s">
        <v>1965</v>
      </c>
      <c r="B1986" t="str">
        <f>HYPERLINK("さ/さん　産育　1669　鍼灸枢要　山本玄通_ページ_1.jpg")</f>
        <v>さ/さん　産育　1669　鍼灸枢要　山本玄通_ページ_1.jpg</v>
      </c>
    </row>
    <row r="1987" spans="1:2" x14ac:dyDescent="0.15">
      <c r="A1987" t="s">
        <v>1966</v>
      </c>
      <c r="B1987" t="str">
        <f>HYPERLINK("さ/さん　産育　1669　鍼灸枢要　山本玄通_ページ_2.jpg")</f>
        <v>さ/さん　産育　1669　鍼灸枢要　山本玄通_ページ_2.jpg</v>
      </c>
    </row>
    <row r="1988" spans="1:2" x14ac:dyDescent="0.15">
      <c r="A1988" t="s">
        <v>1967</v>
      </c>
      <c r="B1988" t="str">
        <f>HYPERLINK("さ/さん　産難横生　1694　選鍼三要集　杉山和一_ページ_1.jpg")</f>
        <v>さ/さん　産難横生　1694　選鍼三要集　杉山和一_ページ_1.jpg</v>
      </c>
    </row>
    <row r="1989" spans="1:2" x14ac:dyDescent="0.15">
      <c r="A1989" t="s">
        <v>5512</v>
      </c>
      <c r="B1989" t="str">
        <f>HYPERLINK("さ/さん　産難横生　1694　選鍼三要集　杉山和一_ページ_2.jpg")</f>
        <v>さ/さん　産難横生　1694　選鍼三要集　杉山和一_ページ_2.jpg</v>
      </c>
    </row>
    <row r="1990" spans="1:2" x14ac:dyDescent="0.15">
      <c r="A1990" t="s">
        <v>1968</v>
      </c>
      <c r="B1990" t="str">
        <f>HYPERLINK("ざ/ざつ　雑病　0650　千金方　孫思ばく_ページ_1.jpg")</f>
        <v>ざ/ざつ　雑病　0650　千金方　孫思ばく_ページ_1.jpg</v>
      </c>
    </row>
    <row r="1991" spans="1:2" x14ac:dyDescent="0.15">
      <c r="A1991" t="s">
        <v>1969</v>
      </c>
      <c r="B1991" t="str">
        <f>HYPERLINK("ざ/ざつ　雑病　0650　千金方　孫思ばく_ページ_2.jpg")</f>
        <v>ざ/ざつ　雑病　0650　千金方　孫思ばく_ページ_2.jpg</v>
      </c>
    </row>
    <row r="1992" spans="1:2" x14ac:dyDescent="0.15">
      <c r="A1992" t="s">
        <v>1970</v>
      </c>
      <c r="B1992" t="str">
        <f>HYPERLINK("ざ/ざつ　雑病　1425　神応経　明・陳会撰・劉瑾重校.jpg")</f>
        <v>ざ/ざつ　雑病　1425　神応経　明・陳会撰・劉瑾重校.jpg</v>
      </c>
    </row>
    <row r="1993" spans="1:2" x14ac:dyDescent="0.15">
      <c r="A1993" t="s">
        <v>1971</v>
      </c>
      <c r="B1993" t="str">
        <f>HYPERLINK("ざ/ざつ　雑病　1785　鍼書　本城義軒_ページ_1.jpg")</f>
        <v>ざ/ざつ　雑病　1785　鍼書　本城義軒_ページ_1.jpg</v>
      </c>
    </row>
    <row r="1994" spans="1:2" x14ac:dyDescent="0.15">
      <c r="A1994" t="s">
        <v>1972</v>
      </c>
      <c r="B1994" t="str">
        <f>HYPERLINK("ざ/ざつ　雑病　1785　鍼書　本城義軒_ページ_2.jpg")</f>
        <v>ざ/ざつ　雑病　1785　鍼書　本城義軒_ページ_2.jpg</v>
      </c>
    </row>
    <row r="1995" spans="1:2" x14ac:dyDescent="0.15">
      <c r="A1995" t="s">
        <v>1973</v>
      </c>
      <c r="B1995" t="str">
        <f>HYPERLINK("ざ/ざつ　雑症-02　1813　名家灸選　浅井惟亨.jpg")</f>
        <v>ざ/ざつ　雑症-02　1813　名家灸選　浅井惟亨.jpg</v>
      </c>
    </row>
    <row r="1996" spans="1:2" x14ac:dyDescent="0.15">
      <c r="A1996" t="s">
        <v>1974</v>
      </c>
      <c r="B1996" t="str">
        <f>HYPERLINK("ざ/ざつ　雑症　1813　名家灸選　浅井惟亨.jpg")</f>
        <v>ざ/ざつ　雑症　1813　名家灸選　浅井惟亨.jpg</v>
      </c>
    </row>
    <row r="1997" spans="1:2" x14ac:dyDescent="0.15">
      <c r="A1997" t="s">
        <v>1975</v>
      </c>
      <c r="B1997" t="str">
        <f>HYPERLINK("ざ/ざつ　雑症　保養（小児）　1669　鍼灸枢要　山本玄通_ページ_1.jpg")</f>
        <v>ざ/ざつ　雑症　保養（小児）　1669　鍼灸枢要　山本玄通_ページ_1.jpg</v>
      </c>
    </row>
    <row r="1998" spans="1:2" x14ac:dyDescent="0.15">
      <c r="A1998" t="s">
        <v>1976</v>
      </c>
      <c r="B1998" t="str">
        <f>HYPERLINK("ざ/ざつ　雑症　保養（小児）　1669　鍼灸枢要　山本玄通_ページ_2.jpg")</f>
        <v>ざ/ざつ　雑症　保養（小児）　1669　鍼灸枢要　山本玄通_ページ_2.jpg</v>
      </c>
    </row>
    <row r="1999" spans="1:2" x14ac:dyDescent="0.15">
      <c r="A1999" t="s">
        <v>1977</v>
      </c>
      <c r="B1999" t="str">
        <f>HYPERLINK("ざ/ざつ　雑症　保養（小児）　1669　鍼灸枢要　山本玄通_ページ_3.jpg")</f>
        <v>ざ/ざつ　雑症　保養（小児）　1669　鍼灸枢要　山本玄通_ページ_3.jpg</v>
      </c>
    </row>
    <row r="2000" spans="1:2" x14ac:dyDescent="0.15">
      <c r="A2000" t="s">
        <v>1978</v>
      </c>
      <c r="B2000" t="str">
        <f>HYPERLINK("ざ/ざつ　雑症　保養（小児）　1669　鍼灸枢要　山本玄通_ページ_4.jpg")</f>
        <v>ざ/ざつ　雑症　保養（小児）　1669　鍼灸枢要　山本玄通_ページ_4.jpg</v>
      </c>
    </row>
    <row r="2001" spans="1:2" x14ac:dyDescent="0.15">
      <c r="A2001" t="s">
        <v>1979</v>
      </c>
      <c r="B2001" t="str">
        <f>HYPERLINK("し/し　し　0300　●太陽中風感於寒湿発し　第四　鍼灸甲乙経　皇甫謐_ページ_1.jpg")</f>
        <v>し/し　し　0300　●太陽中風感於寒湿発し　第四　鍼灸甲乙経　皇甫謐_ページ_1.jpg</v>
      </c>
    </row>
    <row r="2002" spans="1:2" x14ac:dyDescent="0.15">
      <c r="A2002" t="s">
        <v>1980</v>
      </c>
      <c r="B2002" t="str">
        <f>HYPERLINK("し/し　し　0300　●太陽中風感於寒湿発し　第四　鍼灸甲乙経　皇甫謐_ページ_2.jpg")</f>
        <v>し/し　し　0300　●太陽中風感於寒湿発し　第四　鍼灸甲乙経　皇甫謐_ページ_2.jpg</v>
      </c>
    </row>
    <row r="2003" spans="1:2" x14ac:dyDescent="0.15">
      <c r="A2003" t="s">
        <v>1981</v>
      </c>
      <c r="B2003" t="str">
        <f>HYPERLINK("し/し　し　0300　●太陽中風感於寒湿発し　第四　鍼灸甲乙経　皇甫謐_ページ_3.jpg")</f>
        <v>し/し　し　0300　●太陽中風感於寒湿発し　第四　鍼灸甲乙経　皇甫謐_ページ_3.jpg</v>
      </c>
    </row>
    <row r="2004" spans="1:2" x14ac:dyDescent="0.15">
      <c r="A2004" t="s">
        <v>1982</v>
      </c>
      <c r="B2004" t="str">
        <f>HYPERLINK("し/し　し病　すくみ　1686　鍼灸要法指南　岩田利斎_ページ_1.jpg")</f>
        <v>し/し　し病　すくみ　1686　鍼灸要法指南　岩田利斎_ページ_1.jpg</v>
      </c>
    </row>
    <row r="2005" spans="1:2" x14ac:dyDescent="0.15">
      <c r="A2005" t="s">
        <v>1983</v>
      </c>
      <c r="B2005" t="str">
        <f>HYPERLINK("し/し　し病　すくみ　1686　鍼灸要法指南　岩田利斎_ページ_2.jpg")</f>
        <v>し/し　し病　すくみ　1686　鍼灸要法指南　岩田利斎_ページ_2.jpg</v>
      </c>
    </row>
    <row r="2006" spans="1:2" x14ac:dyDescent="0.15">
      <c r="A2006" t="s">
        <v>1984</v>
      </c>
      <c r="B2006" t="str">
        <f>HYPERLINK("し/し　し痙　1669　鍼灸枢要　山本玄通_ページ_1.jpg")</f>
        <v>し/し　し痙　1669　鍼灸枢要　山本玄通_ページ_1.jpg</v>
      </c>
    </row>
    <row r="2007" spans="1:2" x14ac:dyDescent="0.15">
      <c r="A2007" t="s">
        <v>1985</v>
      </c>
      <c r="B2007" t="str">
        <f>HYPERLINK("し/し　し痙　1669　鍼灸枢要　山本玄通_ページ_2.jpg")</f>
        <v>し/し　し痙　1669　鍼灸枢要　山本玄通_ページ_2.jpg</v>
      </c>
    </row>
    <row r="2008" spans="1:2" x14ac:dyDescent="0.15">
      <c r="A2008" t="s">
        <v>1986</v>
      </c>
      <c r="B2008" t="str">
        <f>HYPERLINK("し/し　し痙　1669　鍼灸枢要　山本玄通_ページ_3.jpg")</f>
        <v>し/し　し痙　1669　鍼灸枢要　山本玄通_ページ_3.jpg</v>
      </c>
    </row>
    <row r="2009" spans="1:2" x14ac:dyDescent="0.15">
      <c r="A2009" t="s">
        <v>1987</v>
      </c>
      <c r="B2009" t="str">
        <f>HYPERLINK("し/し　下死胎法　1794　杉山流鍼術　島浦和田一_ページ_1.jpg")</f>
        <v>し/し　下死胎法　1794　杉山流鍼術　島浦和田一_ページ_1.jpg</v>
      </c>
    </row>
    <row r="2010" spans="1:2" x14ac:dyDescent="0.15">
      <c r="A2010" t="s">
        <v>1988</v>
      </c>
      <c r="B2010" t="str">
        <f>HYPERLINK("し/し　下死胎法　1794　杉山流鍼術　島浦和田一_ページ_2.jpg")</f>
        <v>し/し　下死胎法　1794　杉山流鍼術　島浦和田一_ページ_2.jpg</v>
      </c>
    </row>
    <row r="2011" spans="1:2" x14ac:dyDescent="0.15">
      <c r="A2011" t="s">
        <v>1989</v>
      </c>
      <c r="B2011" t="str">
        <f>HYPERLINK("し/し　下死胎法　1794　杉山流鍼術　島浦和田一_ページ_3.jpg")</f>
        <v>し/し　下死胎法　1794　杉山流鍼術　島浦和田一_ページ_3.jpg</v>
      </c>
    </row>
    <row r="2012" spans="1:2" x14ac:dyDescent="0.15">
      <c r="A2012" t="s">
        <v>1990</v>
      </c>
      <c r="B2012" t="str">
        <f>HYPERLINK("し/し　刺灸法則　1669　鍼灸枢要　山本玄通.jpg")</f>
        <v>し/し　刺灸法則　1669　鍼灸枢要　山本玄通.jpg</v>
      </c>
    </row>
    <row r="2013" spans="1:2" x14ac:dyDescent="0.15">
      <c r="A2013" t="s">
        <v>1991</v>
      </c>
      <c r="B2013" t="str">
        <f>HYPERLINK("し/し　刺灸法則（小児）　1800　鍼灸備要　小坂元祐.jpg")</f>
        <v>し/し　刺灸法則（小児）　1800　鍼灸備要　小坂元祐.jpg</v>
      </c>
    </row>
    <row r="2014" spans="1:2" x14ac:dyDescent="0.15">
      <c r="A2014" t="s">
        <v>1992</v>
      </c>
      <c r="B2014" t="str">
        <f>HYPERLINK("し/し　嗜臥　1220　鍼灸資生経　王執中.jpg")</f>
        <v>し/し　嗜臥　1220　鍼灸資生経　王執中.jpg</v>
      </c>
    </row>
    <row r="2015" spans="1:2" x14ac:dyDescent="0.15">
      <c r="A2015" t="s">
        <v>1993</v>
      </c>
      <c r="B2015" t="str">
        <f>HYPERLINK("し/し　嗜臥　1686　鍼灸要法指南　岩田利斎.jpg")</f>
        <v>し/し　嗜臥　1686　鍼灸要法指南　岩田利斎.jpg</v>
      </c>
    </row>
    <row r="2016" spans="1:2" x14ac:dyDescent="0.15">
      <c r="A2016" t="s">
        <v>1994</v>
      </c>
      <c r="B2016" t="str">
        <f>HYPERLINK("し/し　嗜臥　1912年（大正01）　鍼灸手引草　久木田七郎.jpg")</f>
        <v>し/し　嗜臥　1912年（大正01）　鍼灸手引草　久木田七郎.jpg</v>
      </c>
    </row>
    <row r="2017" spans="1:2" x14ac:dyDescent="0.15">
      <c r="A2017" t="s">
        <v>1995</v>
      </c>
      <c r="B2017" t="str">
        <f>HYPERLINK("し/し　嗜臥　多寐　不得寐　1800　鍼灸備要　小坂元祐.jpg")</f>
        <v>し/し　嗜臥　多寐　不得寐　1800　鍼灸備要　小坂元祐.jpg</v>
      </c>
    </row>
    <row r="2018" spans="1:2" x14ac:dyDescent="0.15">
      <c r="A2018" t="s">
        <v>1996</v>
      </c>
      <c r="B2018" t="str">
        <f>HYPERLINK("し/し　嗜臥　多寐　不得寐　1800　鍼灸備要　小坂元祐_ページ_1.jpg")</f>
        <v>し/し　嗜臥　多寐　不得寐　1800　鍼灸備要　小坂元祐_ページ_1.jpg</v>
      </c>
    </row>
    <row r="2019" spans="1:2" x14ac:dyDescent="0.15">
      <c r="A2019" t="s">
        <v>1997</v>
      </c>
      <c r="B2019" t="str">
        <f>HYPERLINK("し/し　嗜臥　多寐　不得寐　1800　鍼灸備要　小坂元祐_ページ_2.jpg")</f>
        <v>し/し　嗜臥　多寐　不得寐　1800　鍼灸備要　小坂元祐_ページ_2.jpg</v>
      </c>
    </row>
    <row r="2020" spans="1:2" x14ac:dyDescent="0.15">
      <c r="A2020" t="s">
        <v>1998</v>
      </c>
      <c r="B2020" t="str">
        <f>HYPERLINK("し/し　嗜臥　多寐　不得寐　夢寐　1669　鍼灸枢要　山本玄通.jpg")</f>
        <v>し/し　嗜臥　多寐　不得寐　夢寐　1669　鍼灸枢要　山本玄通.jpg</v>
      </c>
    </row>
    <row r="2021" spans="1:2" x14ac:dyDescent="0.15">
      <c r="A2021" t="s">
        <v>1999</v>
      </c>
      <c r="B2021" t="str">
        <f>HYPERLINK("し/し　四穴総治　1613　古今集鍼法　長生庵了味か.jpg")</f>
        <v>し/し　四穴総治　1613　古今集鍼法　長生庵了味か.jpg</v>
      </c>
    </row>
    <row r="2022" spans="1:2" x14ac:dyDescent="0.15">
      <c r="A2022" t="s">
        <v>2000</v>
      </c>
      <c r="B2022" t="str">
        <f>HYPERLINK("し/し　四肢不用　0300　●脾受病発四肢不用　第六　鍼灸甲乙経　皇甫謐_ページ_1.jpg")</f>
        <v>し/し　四肢不用　0300　●脾受病発四肢不用　第六　鍼灸甲乙経　皇甫謐_ページ_1.jpg</v>
      </c>
    </row>
    <row r="2023" spans="1:2" x14ac:dyDescent="0.15">
      <c r="A2023" t="s">
        <v>2001</v>
      </c>
      <c r="B2023" t="str">
        <f>HYPERLINK("し/し　四肢不用　0300　●脾受病発四肢不用　第六　鍼灸甲乙経　皇甫謐_ページ_2.jpg")</f>
        <v>し/し　四肢不用　0300　●脾受病発四肢不用　第六　鍼灸甲乙経　皇甫謐_ページ_2.jpg</v>
      </c>
    </row>
    <row r="2024" spans="1:2" x14ac:dyDescent="0.15">
      <c r="A2024" t="s">
        <v>2002</v>
      </c>
      <c r="B2024" t="str">
        <f>HYPERLINK("し/し　四肢厥　1220　鍼灸資生経　王執中_ページ_1.jpg")</f>
        <v>し/し　四肢厥　1220　鍼灸資生経　王執中_ページ_1.jpg</v>
      </c>
    </row>
    <row r="2025" spans="1:2" x14ac:dyDescent="0.15">
      <c r="A2025" t="s">
        <v>2003</v>
      </c>
      <c r="B2025" t="str">
        <f>HYPERLINK("し/し　四肢厥　1220　鍼灸資生経　王執中_ページ_2.jpg")</f>
        <v>し/し　四肢厥　1220　鍼灸資生経　王執中_ページ_2.jpg</v>
      </c>
    </row>
    <row r="2026" spans="1:2" x14ac:dyDescent="0.15">
      <c r="A2026" t="s">
        <v>2004</v>
      </c>
      <c r="B2026" t="str">
        <f>HYPERLINK("し/し　四肢病　0650　千金方　孫思ばく_ページ_1.jpg")</f>
        <v>し/し　四肢病　0650　千金方　孫思ばく_ページ_1.jpg</v>
      </c>
    </row>
    <row r="2027" spans="1:2" x14ac:dyDescent="0.15">
      <c r="A2027" t="s">
        <v>2005</v>
      </c>
      <c r="B2027" t="str">
        <f>HYPERLINK("し/し　四花　患門穴　1912年（大正01）　鍼灸手引草　久木田七郎_ページ_1.jpg")</f>
        <v>し/し　四花　患門穴　1912年（大正01）　鍼灸手引草　久木田七郎_ページ_1.jpg</v>
      </c>
    </row>
    <row r="2028" spans="1:2" x14ac:dyDescent="0.15">
      <c r="A2028" t="s">
        <v>2006</v>
      </c>
      <c r="B2028" t="str">
        <f>HYPERLINK("し/し　四花　患門穴　1912年（大正01）　鍼灸手引草　久木田七郎_ページ_2.jpg")</f>
        <v>し/し　四花　患門穴　1912年（大正01）　鍼灸手引草　久木田七郎_ページ_2.jpg</v>
      </c>
    </row>
    <row r="2029" spans="1:2" x14ac:dyDescent="0.15">
      <c r="A2029" t="s">
        <v>2007</v>
      </c>
      <c r="B2029" t="str">
        <f>HYPERLINK("し/し　四逆　1537　鍼灸聚英　明・高武.jpg")</f>
        <v>し/し　四逆　1537　鍼灸聚英　明・高武.jpg</v>
      </c>
    </row>
    <row r="2030" spans="1:2" x14ac:dyDescent="0.15">
      <c r="A2030" t="s">
        <v>2008</v>
      </c>
      <c r="B2030" t="str">
        <f>HYPERLINK("し/し　子宮病　こぶくろのいたむやまひ　子宮刺激　1887（明治20）　鍼灸備要　青山道醇.jpg")</f>
        <v>し/し　子宮病　こぶくろのいたむやまひ　子宮刺激　1887（明治20）　鍼灸備要　青山道醇.jpg</v>
      </c>
    </row>
    <row r="2031" spans="1:2" x14ac:dyDescent="0.15">
      <c r="A2031" t="s">
        <v>2009</v>
      </c>
      <c r="B2031" t="str">
        <f>HYPERLINK("し/し　子宮脱　小便不通　1912年（大正01）　鍼灸手引草　久木田七郎_ページ_1.jpg")</f>
        <v>し/し　子宮脱　小便不通　1912年（大正01）　鍼灸手引草　久木田七郎_ページ_1.jpg</v>
      </c>
    </row>
    <row r="2032" spans="1:2" x14ac:dyDescent="0.15">
      <c r="A2032" t="s">
        <v>2010</v>
      </c>
      <c r="B2032" t="str">
        <f>HYPERLINK("し/し　子宮脱　小便不通　1912年（大正01）　鍼灸手引草　久木田七郎_ページ_2.jpg")</f>
        <v>し/し　子宮脱　小便不通　1912年（大正01）　鍼灸手引草　久木田七郎_ページ_2.jpg</v>
      </c>
    </row>
    <row r="2033" spans="1:2" x14ac:dyDescent="0.15">
      <c r="A2033" t="s">
        <v>2011</v>
      </c>
      <c r="B2033" t="str">
        <f>HYPERLINK("し/し　子癇（しかん）　母のはらの内にて子が狂うて気を失うなり　1780　鍼灸極秘伝　木村太沖.jpg")</f>
        <v>し/し　子癇（しかん）　母のはらの内にて子が狂うて気を失うなり　1780　鍼灸極秘伝　木村太沖.jpg</v>
      </c>
    </row>
    <row r="2034" spans="1:2" x14ac:dyDescent="0.15">
      <c r="A2034" t="s">
        <v>2012</v>
      </c>
      <c r="B2034" t="str">
        <f>HYPERLINK("し/し　尸けつ　1315　鍼経摘英集　元・杜思敬「済生抜粋方」.jpg")</f>
        <v>し/し　尸けつ　1315　鍼経摘英集　元・杜思敬「済生抜粋方」.jpg</v>
      </c>
    </row>
    <row r="2035" spans="1:2" x14ac:dyDescent="0.15">
      <c r="A2035" t="s">
        <v>2013</v>
      </c>
      <c r="B2035" t="str">
        <f>HYPERLINK("し/し　尸厥　0300　●腸脈下墜陰脈上争発尸厥　第三　鍼灸甲乙経　皇甫謐.jpg")</f>
        <v>し/し　尸厥　0300　●腸脈下墜陰脈上争発尸厥　第三　鍼灸甲乙経　皇甫謐.jpg</v>
      </c>
    </row>
    <row r="2036" spans="1:2" x14ac:dyDescent="0.15">
      <c r="A2036" t="s">
        <v>2014</v>
      </c>
      <c r="B2036" t="str">
        <f>HYPERLINK("し/し　尸厥　0650　卒尸厥　千金方　孫思ばく_ページ_1.jpg")</f>
        <v>し/し　尸厥　0650　卒尸厥　千金方　孫思ばく_ページ_1.jpg</v>
      </c>
    </row>
    <row r="2037" spans="1:2" x14ac:dyDescent="0.15">
      <c r="A2037" t="s">
        <v>2015</v>
      </c>
      <c r="B2037" t="str">
        <f>HYPERLINK("し/し　尸厥　0650　卒尸厥　千金方　孫思ばく_ページ_2.jpg")</f>
        <v>し/し　尸厥　0650　卒尸厥　千金方　孫思ばく_ページ_2.jpg</v>
      </c>
    </row>
    <row r="2038" spans="1:2" x14ac:dyDescent="0.15">
      <c r="A2038" t="s">
        <v>2016</v>
      </c>
      <c r="B2038" t="str">
        <f>HYPERLINK("し/し　尸厥　1220　鍼灸資生経　王執中_ページ_1.jpg")</f>
        <v>し/し　尸厥　1220　鍼灸資生経　王執中_ページ_1.jpg</v>
      </c>
    </row>
    <row r="2039" spans="1:2" x14ac:dyDescent="0.15">
      <c r="A2039" t="s">
        <v>2017</v>
      </c>
      <c r="B2039" t="str">
        <f>HYPERLINK("し/し　尸厥　1220　鍼灸資生経　王執中_ページ_2.jpg")</f>
        <v>し/し　尸厥　1220　鍼灸資生経　王執中_ページ_2.jpg</v>
      </c>
    </row>
    <row r="2040" spans="1:2" x14ac:dyDescent="0.15">
      <c r="A2040" t="s">
        <v>2018</v>
      </c>
      <c r="B2040" t="str">
        <f>HYPERLINK("し/し　尸厥　1220　鍼灸資生経　王執中_ページ_3.jpg")</f>
        <v>し/し　尸厥　1220　鍼灸資生経　王執中_ページ_3.jpg</v>
      </c>
    </row>
    <row r="2041" spans="1:2" x14ac:dyDescent="0.15">
      <c r="A2041" t="s">
        <v>2019</v>
      </c>
      <c r="B2041" t="str">
        <f>HYPERLINK("し/し　尸厥　1563　鍼灸集要　曲直瀬道三.jpg")</f>
        <v>し/し　尸厥　1563　鍼灸集要　曲直瀬道三.jpg</v>
      </c>
    </row>
    <row r="2042" spans="1:2" x14ac:dyDescent="0.15">
      <c r="A2042" t="s">
        <v>2020</v>
      </c>
      <c r="B2042" t="str">
        <f>HYPERLINK("し/し　尸厥　1574　兪穴参伍的法　秦宗巴.jpg")</f>
        <v>し/し　尸厥　1574　兪穴参伍的法　秦宗巴.jpg</v>
      </c>
    </row>
    <row r="2043" spans="1:2" x14ac:dyDescent="0.15">
      <c r="A2043" t="s">
        <v>2021</v>
      </c>
      <c r="B2043" t="str">
        <f>HYPERLINK("し/し　尸厥　1912年（大正01）　鍼灸手引草　久木田七郎.jpg")</f>
        <v>し/し　尸厥　1912年（大正01）　鍼灸手引草　久木田七郎.jpg</v>
      </c>
    </row>
    <row r="2044" spans="1:2" x14ac:dyDescent="0.15">
      <c r="A2044" t="s">
        <v>2022</v>
      </c>
      <c r="B2044" t="str">
        <f>HYPERLINK("し/し　歯不生　1686　鍼灸要法指南　岩田利斎.jpg")</f>
        <v>し/し　歯不生　1686　鍼灸要法指南　岩田利斎.jpg</v>
      </c>
    </row>
    <row r="2045" spans="1:2" x14ac:dyDescent="0.15">
      <c r="A2045" t="s">
        <v>2023</v>
      </c>
      <c r="B2045" t="str">
        <f>HYPERLINK("し/し　歯噤　1220　鍼灸資生経　王執中.jpg")</f>
        <v>し/し　歯噤　1220　鍼灸資生経　王執中.jpg</v>
      </c>
    </row>
    <row r="2046" spans="1:2" x14ac:dyDescent="0.15">
      <c r="A2046" t="s">
        <v>2024</v>
      </c>
      <c r="B2046" t="str">
        <f>HYPERLINK("し/し　歯牙痛　1694　選鍼三要集　杉山和一.jpg")</f>
        <v>し/し　歯牙痛　1694　選鍼三要集　杉山和一.jpg</v>
      </c>
    </row>
    <row r="2047" spans="1:2" x14ac:dyDescent="0.15">
      <c r="A2047" t="s">
        <v>2025</v>
      </c>
      <c r="B2047" t="str">
        <f>HYPERLINK("し/し　歯牙（しげ）痛　歯の痛む病　歯神経痛　1887（明治20）　鍼灸備要　青山道醇.jpg")</f>
        <v>し/し　歯牙（しげ）痛　歯の痛む病　歯神経痛　1887（明治20）　鍼灸備要　青山道醇.jpg</v>
      </c>
    </row>
    <row r="2048" spans="1:2" x14ac:dyDescent="0.15">
      <c r="A2048" t="s">
        <v>2026</v>
      </c>
      <c r="B2048" t="str">
        <f>HYPERLINK("し/し　歯病　0650　千金方　孫思ばく_ページ_1.jpg")</f>
        <v>し/し　歯病　0650　千金方　孫思ばく_ページ_1.jpg</v>
      </c>
    </row>
    <row r="2049" spans="1:2" x14ac:dyDescent="0.15">
      <c r="A2049" t="s">
        <v>2027</v>
      </c>
      <c r="B2049" t="str">
        <f>HYPERLINK("し/し　歯病　0650　千金方　孫思ばく_ページ_2.jpg")</f>
        <v>し/し　歯病　0650　千金方　孫思ばく_ページ_2.jpg</v>
      </c>
    </row>
    <row r="2050" spans="1:2" x14ac:dyDescent="0.15">
      <c r="A2050" t="s">
        <v>2028</v>
      </c>
      <c r="B2050" t="str">
        <f>HYPERLINK("し/し　歯病　1574　兪穴参伍的法　秦宗巴.jpg")</f>
        <v>し/し　歯病　1574　兪穴参伍的法　秦宗巴.jpg</v>
      </c>
    </row>
    <row r="2051" spans="1:2" x14ac:dyDescent="0.15">
      <c r="A2051" t="s">
        <v>2029</v>
      </c>
      <c r="B2051" t="str">
        <f>HYPERLINK("し/し　歯痛　1767　鍼灸則　菅沼周桂_ページ_1.jpg")</f>
        <v>し/し　歯痛　1767　鍼灸則　菅沼周桂_ページ_1.jpg</v>
      </c>
    </row>
    <row r="2052" spans="1:2" x14ac:dyDescent="0.15">
      <c r="A2052" t="s">
        <v>2030</v>
      </c>
      <c r="B2052" t="str">
        <f>HYPERLINK("し/し　歯痛　1767　鍼灸則　菅沼周桂_ページ_2.jpg")</f>
        <v>し/し　歯痛　1767　鍼灸則　菅沼周桂_ページ_2.jpg</v>
      </c>
    </row>
    <row r="2053" spans="1:2" x14ac:dyDescent="0.15">
      <c r="A2053" t="s">
        <v>2031</v>
      </c>
      <c r="B2053" t="str">
        <f>HYPERLINK("し/し　歯痛　成書年未詳　経穴図解　著者未詳_ページ_1.jpg")</f>
        <v>し/し　歯痛　成書年未詳　経穴図解　著者未詳_ページ_1.jpg</v>
      </c>
    </row>
    <row r="2054" spans="1:2" x14ac:dyDescent="0.15">
      <c r="A2054" t="s">
        <v>2032</v>
      </c>
      <c r="B2054" t="str">
        <f>HYPERLINK("し/し　歯痛　成書年未詳　経穴図解　著者未詳_ページ_2.jpg")</f>
        <v>し/し　歯痛　成書年未詳　経穴図解　著者未詳_ページ_2.jpg</v>
      </c>
    </row>
    <row r="2055" spans="1:2" x14ac:dyDescent="0.15">
      <c r="A2055" t="s">
        <v>2033</v>
      </c>
      <c r="B2055" t="str">
        <f>HYPERLINK("し/し　歯齲　1220　鍼灸資生経　王執中.jpg")</f>
        <v>し/し　歯齲　1220　鍼灸資生経　王執中.jpg</v>
      </c>
    </row>
    <row r="2056" spans="1:2" x14ac:dyDescent="0.15">
      <c r="A2056" t="s">
        <v>2034</v>
      </c>
      <c r="B2056" t="str">
        <f>HYPERLINK("し/し　死胎、必ず脈沈にして小腹冷ゆるなり　なんざん、死胎をくだすに　1780　鍼灸極秘伝　木村太沖.jpg")</f>
        <v>し/し　死胎、必ず脈沈にして小腹冷ゆるなり　なんざん、死胎をくだすに　1780　鍼灸極秘伝　木村太沖.jpg</v>
      </c>
    </row>
    <row r="2057" spans="1:2" x14ac:dyDescent="0.15">
      <c r="A2057" t="s">
        <v>2035</v>
      </c>
      <c r="B2057" t="str">
        <f>HYPERLINK("し/しち　七風　1792　鍼法要集　源長起.jpg")</f>
        <v>し/しち　七風　1792　鍼法要集　源長起.jpg</v>
      </c>
    </row>
    <row r="2058" spans="1:2" x14ac:dyDescent="0.15">
      <c r="A2058" t="s">
        <v>2036</v>
      </c>
      <c r="B2058" t="str">
        <f>HYPERLINK("し/しつ　失欠　1574　兪穴参伍的法　秦宗巴.jpg")</f>
        <v>し/しつ　失欠　1574　兪穴参伍的法　秦宗巴.jpg</v>
      </c>
    </row>
    <row r="2059" spans="1:2" x14ac:dyDescent="0.15">
      <c r="A2059" t="s">
        <v>2037</v>
      </c>
      <c r="B2059" t="str">
        <f>HYPERLINK("し/しつ　失精　もうそう　遺精　1887（明治20）　鍼灸備要　青山道醇.jpg")</f>
        <v>し/しつ　失精　もうそう　遺精　1887（明治20）　鍼灸備要　青山道醇.jpg</v>
      </c>
    </row>
    <row r="2060" spans="1:2" x14ac:dyDescent="0.15">
      <c r="A2060" t="s">
        <v>2038</v>
      </c>
      <c r="B2060" t="str">
        <f>HYPERLINK("し/しつ　失血　1679　鍼法奇貨　渡辺東伯_ページ_1.jpg")</f>
        <v>し/しつ　失血　1679　鍼法奇貨　渡辺東伯_ページ_1.jpg</v>
      </c>
    </row>
    <row r="2061" spans="1:2" x14ac:dyDescent="0.15">
      <c r="A2061" t="s">
        <v>2039</v>
      </c>
      <c r="B2061" t="str">
        <f>HYPERLINK("し/しつ　失血　1679　鍼法奇貨　渡辺東伯_ページ_2.jpg")</f>
        <v>し/しつ　失血　1679　鍼法奇貨　渡辺東伯_ページ_2.jpg</v>
      </c>
    </row>
    <row r="2062" spans="1:2" x14ac:dyDescent="0.15">
      <c r="A2062" t="s">
        <v>2040</v>
      </c>
      <c r="B2062" t="str">
        <f>HYPERLINK("し/しつ　失血　1679　鍼法奇貨　渡辺東伯_ページ_3.jpg")</f>
        <v>し/しつ　失血　1679　鍼法奇貨　渡辺東伯_ページ_3.jpg</v>
      </c>
    </row>
    <row r="2063" spans="1:2" x14ac:dyDescent="0.15">
      <c r="A2063" t="s">
        <v>2041</v>
      </c>
      <c r="B2063" t="str">
        <f>HYPERLINK("し/しつ　失血　1679　鍼法奇貨　渡辺東伯_ページ_4.jpg")</f>
        <v>し/しつ　失血　1679　鍼法奇貨　渡辺東伯_ページ_4.jpg</v>
      </c>
    </row>
    <row r="2064" spans="1:2" x14ac:dyDescent="0.15">
      <c r="A2064" t="s">
        <v>2042</v>
      </c>
      <c r="B2064" t="str">
        <f>HYPERLINK("し/しつ　失血　1679　鍼法奇貨　渡辺東伯_ページ_5.jpg")</f>
        <v>し/しつ　失血　1679　鍼法奇貨　渡辺東伯_ページ_5.jpg</v>
      </c>
    </row>
    <row r="2065" spans="1:2" x14ac:dyDescent="0.15">
      <c r="A2065" t="s">
        <v>2043</v>
      </c>
      <c r="B2065" t="str">
        <f>HYPERLINK("し/しつ　失血　1679　鍼法奇貨　渡辺東伯_ページ_6.jpg")</f>
        <v>し/しつ　失血　1679　鍼法奇貨　渡辺東伯_ページ_6.jpg</v>
      </c>
    </row>
    <row r="2066" spans="1:2" x14ac:dyDescent="0.15">
      <c r="A2066" t="s">
        <v>2044</v>
      </c>
      <c r="B2066" t="str">
        <f>HYPERLINK("し/しつ　失血　1679　鍼法奇貨　渡辺東伯_ページ_7.jpg")</f>
        <v>し/しつ　失血　1679　鍼法奇貨　渡辺東伯_ページ_7.jpg</v>
      </c>
    </row>
    <row r="2067" spans="1:2" x14ac:dyDescent="0.15">
      <c r="A2067" t="s">
        <v>2045</v>
      </c>
      <c r="B2067" t="str">
        <f>HYPERLINK("し/しつ　失血　1686　鍼灸要法指南　岩田利斎.jpg")</f>
        <v>し/しつ　失血　1686　鍼灸要法指南　岩田利斎.jpg</v>
      </c>
    </row>
    <row r="2068" spans="1:2" x14ac:dyDescent="0.15">
      <c r="A2068" t="s">
        <v>2046</v>
      </c>
      <c r="B2068" t="str">
        <f>HYPERLINK("し/しつ　失血　1794　杉山流鍼術　島浦和田一.jpg")</f>
        <v>し/しつ　失血　1794　杉山流鍼術　島浦和田一.jpg</v>
      </c>
    </row>
    <row r="2069" spans="1:2" x14ac:dyDescent="0.15">
      <c r="A2069" t="s">
        <v>2047</v>
      </c>
      <c r="B2069" t="str">
        <f>HYPERLINK("し/しつ　失音　1315　鍼経摘英集　元・杜思敬「済生抜粋方」_ページ_1.jpg")</f>
        <v>し/しつ　失音　1315　鍼経摘英集　元・杜思敬「済生抜粋方」_ページ_1.jpg</v>
      </c>
    </row>
    <row r="2070" spans="1:2" x14ac:dyDescent="0.15">
      <c r="A2070" t="s">
        <v>2048</v>
      </c>
      <c r="B2070" t="str">
        <f>HYPERLINK("し/しつ　失音　1315　鍼経摘英集　元・杜思敬「済生抜粋方」_ページ_2.jpg")</f>
        <v>し/しつ　失音　1315　鍼経摘英集　元・杜思敬「済生抜粋方」_ページ_2.jpg</v>
      </c>
    </row>
    <row r="2071" spans="1:2" x14ac:dyDescent="0.15">
      <c r="A2071" t="s">
        <v>2049</v>
      </c>
      <c r="B2071" t="str">
        <f>HYPERLINK("し/しつ　失音　附声嘶　1299　続添要穴集　惟宗時俊.jpg")</f>
        <v>し/しつ　失音　附声嘶　1299　続添要穴集　惟宗時俊.jpg</v>
      </c>
    </row>
    <row r="2072" spans="1:2" x14ac:dyDescent="0.15">
      <c r="A2072" t="s">
        <v>2050</v>
      </c>
      <c r="B2072" t="str">
        <f>HYPERLINK("し/しつ　湿症　1767　鍼灸則　菅沼周桂_ページ_1.jpg")</f>
        <v>し/しつ　湿症　1767　鍼灸則　菅沼周桂_ページ_1.jpg</v>
      </c>
    </row>
    <row r="2073" spans="1:2" x14ac:dyDescent="0.15">
      <c r="A2073" t="s">
        <v>2051</v>
      </c>
      <c r="B2073" t="str">
        <f>HYPERLINK("し/しつ　湿症　1767　鍼灸則　菅沼周桂_ページ_2.jpg")</f>
        <v>し/しつ　湿症　1767　鍼灸則　菅沼周桂_ページ_2.jpg</v>
      </c>
    </row>
    <row r="2074" spans="1:2" x14ac:dyDescent="0.15">
      <c r="A2074" t="s">
        <v>2052</v>
      </c>
      <c r="B2074" t="str">
        <f>HYPERLINK("し/しつ　湿痺　0650　千金方　孫思ばく_ページ_1.jpg")</f>
        <v>し/しつ　湿痺　0650　千金方　孫思ばく_ページ_1.jpg</v>
      </c>
    </row>
    <row r="2075" spans="1:2" x14ac:dyDescent="0.15">
      <c r="A2075" t="s">
        <v>2053</v>
      </c>
      <c r="B2075" t="str">
        <f>HYPERLINK("し/しつ　湿痺　0650　千金方　孫思ばく_ページ_2.jpg")</f>
        <v>し/しつ　湿痺　0650　千金方　孫思ばく_ページ_2.jpg</v>
      </c>
    </row>
    <row r="2076" spans="1:2" x14ac:dyDescent="0.15">
      <c r="A2076" t="s">
        <v>2054</v>
      </c>
      <c r="B2076" t="str">
        <f>HYPERLINK("し/しつ　湿痺　1574　兪穴参伍的法　秦宗巴.jpg")</f>
        <v>し/しつ　湿痺　1574　兪穴参伍的法　秦宗巴.jpg</v>
      </c>
    </row>
    <row r="2077" spans="1:2" x14ac:dyDescent="0.15">
      <c r="A2077" t="s">
        <v>2055</v>
      </c>
      <c r="B2077" t="str">
        <f>HYPERLINK("し/しつ　漆瘡　うるしまけ　1686　鍼灸要法指南　岩田利斎.jpg")</f>
        <v>し/しつ　漆瘡　うるしまけ　1686　鍼灸要法指南　岩田利斎.jpg</v>
      </c>
    </row>
    <row r="2078" spans="1:2" x14ac:dyDescent="0.15">
      <c r="A2078" t="s">
        <v>2056</v>
      </c>
      <c r="B2078" t="str">
        <f>HYPERLINK("し/しつ　膝とぐら妙灸　1594　経脈方寸秘書　曲直瀬道三.jpg")</f>
        <v>し/しつ　膝とぐら妙灸　1594　経脈方寸秘書　曲直瀬道三.jpg</v>
      </c>
    </row>
    <row r="2079" spans="1:2" x14ac:dyDescent="0.15">
      <c r="A2079" t="s">
        <v>2057</v>
      </c>
      <c r="B2079" t="str">
        <f>HYPERLINK("し/しつ　膝病　0650　千金方　孫思ばく_ページ_1.jpg")</f>
        <v>し/しつ　膝病　0650　千金方　孫思ばく_ページ_1.jpg</v>
      </c>
    </row>
    <row r="2080" spans="1:2" x14ac:dyDescent="0.15">
      <c r="A2080" t="s">
        <v>2058</v>
      </c>
      <c r="B2080" t="str">
        <f>HYPERLINK("し/しつ　膝病　0650　千金方　孫思ばく_ページ_2.jpg")</f>
        <v>し/しつ　膝病　0650　千金方　孫思ばく_ページ_2.jpg</v>
      </c>
    </row>
    <row r="2081" spans="1:2" x14ac:dyDescent="0.15">
      <c r="A2081" t="s">
        <v>5513</v>
      </c>
      <c r="B2081" t="str">
        <f>HYPERLINK("し/しつ　膝痛（余見脚膝）　1220　鍼灸資生経　王執中_ページ_1.jpg")</f>
        <v>し/しつ　膝痛（余見脚膝）　1220　鍼灸資生経　王執中_ページ_1.jpg</v>
      </c>
    </row>
    <row r="2082" spans="1:2" x14ac:dyDescent="0.15">
      <c r="A2082" t="s">
        <v>2059</v>
      </c>
      <c r="B2082" t="str">
        <f>HYPERLINK("し/しつ　膝痛（余見脚膝）　1220　鍼灸資生経　王執中_ページ_2.jpg")</f>
        <v>し/しつ　膝痛（余見脚膝）　1220　鍼灸資生経　王執中_ページ_2.jpg</v>
      </c>
    </row>
    <row r="2083" spans="1:2" x14ac:dyDescent="0.15">
      <c r="A2083" t="s">
        <v>2060</v>
      </c>
      <c r="B2083" t="str">
        <f>HYPERLINK("し/しつ　膝腿無力　1329　扁鵲神応鍼灸玉龍経　元・王国瑞_ページ_1.jpg")</f>
        <v>し/しつ　膝腿無力　1329　扁鵲神応鍼灸玉龍経　元・王国瑞_ページ_1.jpg</v>
      </c>
    </row>
    <row r="2084" spans="1:2" x14ac:dyDescent="0.15">
      <c r="A2084" t="s">
        <v>2061</v>
      </c>
      <c r="B2084" t="str">
        <f>HYPERLINK("し/しつ　膝腿無力　1329　扁鵲神応鍼灸玉龍経　元・王国瑞_ページ_2.jpg")</f>
        <v>し/しつ　膝腿無力　1329　扁鵲神応鍼灸玉龍経　元・王国瑞_ページ_2.jpg</v>
      </c>
    </row>
    <row r="2085" spans="1:2" x14ac:dyDescent="0.15">
      <c r="A2085" t="s">
        <v>2062</v>
      </c>
      <c r="B2085" t="str">
        <f>HYPERLINK("し/しつ　膝風　1329　扁鵲神応鍼灸玉龍経　元・王国瑞_ページ_1.jpg")</f>
        <v>し/しつ　膝風　1329　扁鵲神応鍼灸玉龍経　元・王国瑞_ページ_1.jpg</v>
      </c>
    </row>
    <row r="2086" spans="1:2" x14ac:dyDescent="0.15">
      <c r="A2086" t="s">
        <v>2063</v>
      </c>
      <c r="B2086" t="str">
        <f>HYPERLINK("し/しつ　膝風　1329　扁鵲神応鍼灸玉龍経　元・王国瑞_ページ_2.jpg")</f>
        <v>し/しつ　膝風　1329　扁鵲神応鍼灸玉龍経　元・王国瑞_ページ_2.jpg</v>
      </c>
    </row>
    <row r="2087" spans="1:2" x14ac:dyDescent="0.15">
      <c r="A2087" t="s">
        <v>2064</v>
      </c>
      <c r="B2087" t="str">
        <f>HYPERLINK("し/しぶり　しぶり腹　1607　扁鵲新流鍼書　越齋寿閑.jpg")</f>
        <v>し/しぶり　しぶり腹　1607　扁鵲新流鍼書　越齋寿閑.jpg</v>
      </c>
    </row>
    <row r="2088" spans="1:2" x14ac:dyDescent="0.15">
      <c r="A2088" t="s">
        <v>2065</v>
      </c>
      <c r="B2088" t="str">
        <f>HYPERLINK("し/しゃ　瀉痢　1537　鍼灸聚英　明・高武_ページ_1.jpg")</f>
        <v>し/しゃ　瀉痢　1537　鍼灸聚英　明・高武_ページ_1.jpg</v>
      </c>
    </row>
    <row r="2089" spans="1:2" x14ac:dyDescent="0.15">
      <c r="A2089" t="s">
        <v>2066</v>
      </c>
      <c r="B2089" t="str">
        <f>HYPERLINK("し/しゃ　瀉痢　1537　鍼灸聚英　明・高武_ページ_2.jpg")</f>
        <v>し/しゃ　瀉痢　1537　鍼灸聚英　明・高武_ページ_2.jpg</v>
      </c>
    </row>
    <row r="2090" spans="1:2" x14ac:dyDescent="0.15">
      <c r="A2090" t="s">
        <v>2067</v>
      </c>
      <c r="B2090" t="str">
        <f>HYPERLINK("し/しゃ　瀉痢　1624　類経図翼　明・張介賓_ページ_1.jpg")</f>
        <v>し/しゃ　瀉痢　1624　類経図翼　明・張介賓_ページ_1.jpg</v>
      </c>
    </row>
    <row r="2091" spans="1:2" x14ac:dyDescent="0.15">
      <c r="A2091" t="s">
        <v>2068</v>
      </c>
      <c r="B2091" t="str">
        <f>HYPERLINK("し/しゃ　瀉痢　1624　類経図翼　明・張介賓_ページ_2.jpg")</f>
        <v>し/しゃ　瀉痢　1624　類経図翼　明・張介賓_ページ_2.jpg</v>
      </c>
    </row>
    <row r="2092" spans="1:2" x14ac:dyDescent="0.15">
      <c r="A2092" t="s">
        <v>2069</v>
      </c>
      <c r="B2092" t="str">
        <f>HYPERLINK("し/しゃ　瀉痢　1624　類経図翼　明・張介賓_ページ_3.jpg")</f>
        <v>し/しゃ　瀉痢　1624　類経図翼　明・張介賓_ページ_3.jpg</v>
      </c>
    </row>
    <row r="2093" spans="1:2" x14ac:dyDescent="0.15">
      <c r="A2093" t="s">
        <v>2070</v>
      </c>
      <c r="B2093" t="str">
        <f>HYPERLINK("し/しゃ　瀉痢　1694　選鍼三要集　杉山和一.jpg")</f>
        <v>し/しゃ　瀉痢　1694　選鍼三要集　杉山和一.jpg</v>
      </c>
    </row>
    <row r="2094" spans="1:2" x14ac:dyDescent="0.15">
      <c r="A2094" t="s">
        <v>2071</v>
      </c>
      <c r="B2094" t="str">
        <f>HYPERLINK("し/しゃ　瀉痢　1761　挨穴捷径　杉原敦_ページ_1.jpg")</f>
        <v>し/しゃ　瀉痢　1761　挨穴捷径　杉原敦_ページ_1.jpg</v>
      </c>
    </row>
    <row r="2095" spans="1:2" x14ac:dyDescent="0.15">
      <c r="A2095" t="s">
        <v>5514</v>
      </c>
      <c r="B2095" t="str">
        <f>HYPERLINK("し/しゃ　瀉痢　1761　挨穴捷径　杉原敦_ページ_2.jpg")</f>
        <v>し/しゃ　瀉痢　1761　挨穴捷径　杉原敦_ページ_2.jpg</v>
      </c>
    </row>
    <row r="2096" spans="1:2" x14ac:dyDescent="0.15">
      <c r="A2096" t="s">
        <v>2072</v>
      </c>
      <c r="B2096" t="str">
        <f>HYPERLINK("し/しゃく　積気　1220　鍼灸資生経　王執中_ページ_1.jpg")</f>
        <v>し/しゃく　積気　1220　鍼灸資生経　王執中_ページ_1.jpg</v>
      </c>
    </row>
    <row r="2097" spans="1:2" x14ac:dyDescent="0.15">
      <c r="A2097" t="s">
        <v>2073</v>
      </c>
      <c r="B2097" t="str">
        <f>HYPERLINK("し/しゃく　積気　1220　鍼灸資生経　王執中_ページ_2.jpg")</f>
        <v>し/しゃく　積気　1220　鍼灸資生経　王執中_ページ_2.jpg</v>
      </c>
    </row>
    <row r="2098" spans="1:2" x14ac:dyDescent="0.15">
      <c r="A2098" t="s">
        <v>2074</v>
      </c>
      <c r="B2098" t="str">
        <f>HYPERLINK("し/しゃく　積聚　1220　鍼灸資生経　王執中.jpg")</f>
        <v>し/しゃく　積聚　1220　鍼灸資生経　王執中.jpg</v>
      </c>
    </row>
    <row r="2099" spans="1:2" x14ac:dyDescent="0.15">
      <c r="A2099" t="s">
        <v>2075</v>
      </c>
      <c r="B2099" t="str">
        <f>HYPERLINK("し/しゃく　積聚　1613　古今集鍼法　長生庵了味か.jpg")</f>
        <v>し/しゃく　積聚　1613　古今集鍼法　長生庵了味か.jpg</v>
      </c>
    </row>
    <row r="2100" spans="1:2" x14ac:dyDescent="0.15">
      <c r="A2100" t="s">
        <v>2076</v>
      </c>
      <c r="B2100" t="str">
        <f>HYPERLINK("し/しゃく　積聚　1669　鍼灸枢要　山本玄通_ページ_1.jpg")</f>
        <v>し/しゃく　積聚　1669　鍼灸枢要　山本玄通_ページ_1.jpg</v>
      </c>
    </row>
    <row r="2101" spans="1:2" x14ac:dyDescent="0.15">
      <c r="A2101" t="s">
        <v>2077</v>
      </c>
      <c r="B2101" t="str">
        <f>HYPERLINK("し/しゃく　積聚　1669　鍼灸枢要　山本玄通_ページ_2.jpg")</f>
        <v>し/しゃく　積聚　1669　鍼灸枢要　山本玄通_ページ_2.jpg</v>
      </c>
    </row>
    <row r="2102" spans="1:2" x14ac:dyDescent="0.15">
      <c r="A2102" t="s">
        <v>2078</v>
      </c>
      <c r="B2102" t="str">
        <f>HYPERLINK("し/しゃく　積聚　1669　鍼灸枢要　山本玄通_ページ_3.jpg")</f>
        <v>し/しゃく　積聚　1669　鍼灸枢要　山本玄通_ページ_3.jpg</v>
      </c>
    </row>
    <row r="2103" spans="1:2" x14ac:dyDescent="0.15">
      <c r="A2103" t="s">
        <v>2079</v>
      </c>
      <c r="B2103" t="str">
        <f>HYPERLINK("し/しゃく　積聚　1669　鍼灸枢要　山本玄通_ページ_4.jpg")</f>
        <v>し/しゃく　積聚　1669　鍼灸枢要　山本玄通_ページ_4.jpg</v>
      </c>
    </row>
    <row r="2104" spans="1:2" x14ac:dyDescent="0.15">
      <c r="A2104" t="s">
        <v>2080</v>
      </c>
      <c r="B2104" t="str">
        <f>HYPERLINK("し/しゃく　積聚　1669　鍼灸枢要　山本玄通_ページ_5.jpg")</f>
        <v>し/しゃく　積聚　1669　鍼灸枢要　山本玄通_ページ_5.jpg</v>
      </c>
    </row>
    <row r="2105" spans="1:2" x14ac:dyDescent="0.15">
      <c r="A2105" t="s">
        <v>2081</v>
      </c>
      <c r="B2105" t="str">
        <f>HYPERLINK("し/しゃく　積聚　1669　鍼灸枢要　山本玄通_ページ_6.jpg")</f>
        <v>し/しゃく　積聚　1669　鍼灸枢要　山本玄通_ページ_6.jpg</v>
      </c>
    </row>
    <row r="2106" spans="1:2" x14ac:dyDescent="0.15">
      <c r="A2106" t="s">
        <v>2082</v>
      </c>
      <c r="B2106" t="str">
        <f>HYPERLINK("し/しゃく　積聚　1669　鍼灸枢要　山本玄通_ページ_7.jpg")</f>
        <v>し/しゃく　積聚　1669　鍼灸枢要　山本玄通_ページ_7.jpg</v>
      </c>
    </row>
    <row r="2107" spans="1:2" x14ac:dyDescent="0.15">
      <c r="A2107" t="s">
        <v>2083</v>
      </c>
      <c r="B2107" t="str">
        <f>HYPERLINK("し/しゃく　積聚　1680　鍼灸抜萃　著者未詳.jpg")</f>
        <v>し/しゃく　積聚　1680　鍼灸抜萃　著者未詳.jpg</v>
      </c>
    </row>
    <row r="2108" spans="1:2" x14ac:dyDescent="0.15">
      <c r="A2108" t="s">
        <v>2084</v>
      </c>
      <c r="B2108" t="str">
        <f>HYPERLINK("し/しゃく　積聚　1686　鍼灸要法指南　岩田利斎_ページ_1.jpg")</f>
        <v>し/しゃく　積聚　1686　鍼灸要法指南　岩田利斎_ページ_1.jpg</v>
      </c>
    </row>
    <row r="2109" spans="1:2" x14ac:dyDescent="0.15">
      <c r="A2109" t="s">
        <v>2085</v>
      </c>
      <c r="B2109" t="str">
        <f>HYPERLINK("し/しゃく　積聚　1686　鍼灸要法指南　岩田利斎_ページ_2.jpg")</f>
        <v>し/しゃく　積聚　1686　鍼灸要法指南　岩田利斎_ページ_2.jpg</v>
      </c>
    </row>
    <row r="2110" spans="1:2" x14ac:dyDescent="0.15">
      <c r="A2110" t="s">
        <v>2086</v>
      </c>
      <c r="B2110" t="str">
        <f>HYPERLINK("し/しゃく　積聚　1693　鍼灸要歌集　安井昌玄_ページ_1.jpg")</f>
        <v>し/しゃく　積聚　1693　鍼灸要歌集　安井昌玄_ページ_1.jpg</v>
      </c>
    </row>
    <row r="2111" spans="1:2" x14ac:dyDescent="0.15">
      <c r="A2111" t="s">
        <v>2087</v>
      </c>
      <c r="B2111" t="str">
        <f>HYPERLINK("し/しゃく　積聚　1693　鍼灸要歌集　安井昌玄_ページ_2.jpg")</f>
        <v>し/しゃく　積聚　1693　鍼灸要歌集　安井昌玄_ページ_2.jpg</v>
      </c>
    </row>
    <row r="2112" spans="1:2" x14ac:dyDescent="0.15">
      <c r="A2112" t="s">
        <v>2088</v>
      </c>
      <c r="B2112" t="str">
        <f>HYPERLINK("し/しゃく　積聚　1693　鍼灸要歌集　安井昌玄_ページ_3.jpg")</f>
        <v>し/しゃく　積聚　1693　鍼灸要歌集　安井昌玄_ページ_3.jpg</v>
      </c>
    </row>
    <row r="2113" spans="1:2" x14ac:dyDescent="0.15">
      <c r="A2113" t="s">
        <v>2089</v>
      </c>
      <c r="B2113" t="str">
        <f>HYPERLINK("し/しゃく　積聚　1693　鍼灸要歌集　安井昌玄_ページ_4.jpg")</f>
        <v>し/しゃく　積聚　1693　鍼灸要歌集　安井昌玄_ページ_4.jpg</v>
      </c>
    </row>
    <row r="2114" spans="1:2" x14ac:dyDescent="0.15">
      <c r="A2114" t="s">
        <v>2090</v>
      </c>
      <c r="B2114" t="str">
        <f>HYPERLINK("し/しゃく　積聚　1694　療治之大概集　杉山和一.jpg")</f>
        <v>し/しゃく　積聚　1694　療治之大概集　杉山和一.jpg</v>
      </c>
    </row>
    <row r="2115" spans="1:2" x14ac:dyDescent="0.15">
      <c r="A2115" t="s">
        <v>2091</v>
      </c>
      <c r="B2115" t="str">
        <f>HYPERLINK("し/しゃく　積聚　1694　鍼灸そかい集　高津敬節.jpg")</f>
        <v>し/しゃく　積聚　1694　鍼灸そかい集　高津敬節.jpg</v>
      </c>
    </row>
    <row r="2116" spans="1:2" x14ac:dyDescent="0.15">
      <c r="A2116" t="s">
        <v>2092</v>
      </c>
      <c r="B2116" t="str">
        <f>HYPERLINK("し/しゃく　積聚　1696　広益鍼灸抜萃　著者未詳_ページ_1.jpg")</f>
        <v>し/しゃく　積聚　1696　広益鍼灸抜萃　著者未詳_ページ_1.jpg</v>
      </c>
    </row>
    <row r="2117" spans="1:2" x14ac:dyDescent="0.15">
      <c r="A2117" t="s">
        <v>2093</v>
      </c>
      <c r="B2117" t="str">
        <f>HYPERLINK("し/しゃく　積聚　1696　広益鍼灸抜萃　著者未詳_ページ_2.jpg")</f>
        <v>し/しゃく　積聚　1696　広益鍼灸抜萃　著者未詳_ページ_2.jpg</v>
      </c>
    </row>
    <row r="2118" spans="1:2" x14ac:dyDescent="0.15">
      <c r="A2118" t="s">
        <v>2094</v>
      </c>
      <c r="B2118" t="str">
        <f>HYPERLINK("し/しゃく　積聚　1696　広益鍼灸抜萃　著者未詳_ページ_3.jpg")</f>
        <v>し/しゃく　積聚　1696　広益鍼灸抜萃　著者未詳_ページ_3.jpg</v>
      </c>
    </row>
    <row r="2119" spans="1:2" x14ac:dyDescent="0.15">
      <c r="A2119" t="s">
        <v>2095</v>
      </c>
      <c r="B2119" t="str">
        <f>HYPERLINK("し/しゃく　積聚　1698　鍼灸抜粋大成　岡本一抱.jpg")</f>
        <v>し/しゃく　積聚　1698　鍼灸抜粋大成　岡本一抱.jpg</v>
      </c>
    </row>
    <row r="2120" spans="1:2" x14ac:dyDescent="0.15">
      <c r="A2120" t="s">
        <v>2096</v>
      </c>
      <c r="B2120" t="str">
        <f>HYPERLINK("し/しゃく　積聚　1767　鍼灸則　菅沼周桂_ページ_1.jpg")</f>
        <v>し/しゃく　積聚　1767　鍼灸則　菅沼周桂_ページ_1.jpg</v>
      </c>
    </row>
    <row r="2121" spans="1:2" x14ac:dyDescent="0.15">
      <c r="A2121" t="s">
        <v>2097</v>
      </c>
      <c r="B2121" t="str">
        <f>HYPERLINK("し/しゃく　積聚　1767　鍼灸則　菅沼周桂_ページ_2.jpg")</f>
        <v>し/しゃく　積聚　1767　鍼灸則　菅沼周桂_ページ_2.jpg</v>
      </c>
    </row>
    <row r="2122" spans="1:2" x14ac:dyDescent="0.15">
      <c r="A2122" t="s">
        <v>2098</v>
      </c>
      <c r="B2122" t="str">
        <f>HYPERLINK("し/しゃく　積聚　1767　鍼灸則　菅沼周桂_ページ_3.jpg")</f>
        <v>し/しゃく　積聚　1767　鍼灸則　菅沼周桂_ページ_3.jpg</v>
      </c>
    </row>
    <row r="2123" spans="1:2" x14ac:dyDescent="0.15">
      <c r="A2123" t="s">
        <v>2099</v>
      </c>
      <c r="B2123" t="str">
        <f>HYPERLINK("し/しゃく　積聚　1773　鍼灸手引草　大簡室主人_ページ_1.jpg")</f>
        <v>し/しゃく　積聚　1773　鍼灸手引草　大簡室主人_ページ_1.jpg</v>
      </c>
    </row>
    <row r="2124" spans="1:2" x14ac:dyDescent="0.15">
      <c r="A2124" t="s">
        <v>2100</v>
      </c>
      <c r="B2124" t="str">
        <f>HYPERLINK("し/しゃく　積聚　1773　鍼灸手引草　大簡室主人_ページ_2.jpg")</f>
        <v>し/しゃく　積聚　1773　鍼灸手引草　大簡室主人_ページ_2.jpg</v>
      </c>
    </row>
    <row r="2125" spans="1:2" x14ac:dyDescent="0.15">
      <c r="A2125" t="s">
        <v>2101</v>
      </c>
      <c r="B2125" t="str">
        <f>HYPERLINK("し/しゃく　積聚　1773　鍼灸手引草　大簡室主人_ページ_3.jpg")</f>
        <v>し/しゃく　積聚　1773　鍼灸手引草　大簡室主人_ページ_3.jpg</v>
      </c>
    </row>
    <row r="2126" spans="1:2" x14ac:dyDescent="0.15">
      <c r="A2126" t="s">
        <v>2102</v>
      </c>
      <c r="B2126" t="str">
        <f>HYPERLINK("し/しゃく　積聚　1773　鍼灸手引草　大簡室主人_ページ_4.jpg")</f>
        <v>し/しゃく　積聚　1773　鍼灸手引草　大簡室主人_ページ_4.jpg</v>
      </c>
    </row>
    <row r="2127" spans="1:2" x14ac:dyDescent="0.15">
      <c r="A2127" t="s">
        <v>2103</v>
      </c>
      <c r="B2127" t="str">
        <f>HYPERLINK("し/しゃく　積聚　1780　　しゃくつかえ　鍼灸極秘伝　木村太沖.jpg")</f>
        <v>し/しゃく　積聚　1780　　しゃくつかえ　鍼灸極秘伝　木村太沖.jpg</v>
      </c>
    </row>
    <row r="2128" spans="1:2" x14ac:dyDescent="0.15">
      <c r="A2128" t="s">
        <v>2104</v>
      </c>
      <c r="B2128" t="str">
        <f>HYPERLINK("し/しゃく　積聚　1785　鍼書　本城義軒.jpg")</f>
        <v>し/しゃく　積聚　1785　鍼書　本城義軒.jpg</v>
      </c>
    </row>
    <row r="2129" spans="1:2" x14ac:dyDescent="0.15">
      <c r="A2129" t="s">
        <v>2105</v>
      </c>
      <c r="B2129" t="str">
        <f>HYPERLINK("し/しゃく　積聚　1792　鍼法要集　源長起_ページ_1.jpg")</f>
        <v>し/しゃく　積聚　1792　鍼法要集　源長起_ページ_1.jpg</v>
      </c>
    </row>
    <row r="2130" spans="1:2" x14ac:dyDescent="0.15">
      <c r="A2130" t="s">
        <v>2106</v>
      </c>
      <c r="B2130" t="str">
        <f>HYPERLINK("し/しゃく　積聚　1792　鍼法要集　源長起_ページ_2.jpg")</f>
        <v>し/しゃく　積聚　1792　鍼法要集　源長起_ページ_2.jpg</v>
      </c>
    </row>
    <row r="2131" spans="1:2" x14ac:dyDescent="0.15">
      <c r="A2131" t="s">
        <v>2107</v>
      </c>
      <c r="B2131" t="str">
        <f>HYPERLINK("し/しゃく　積聚　1792　鍼法要集　源長起_ページ_3.jpg")</f>
        <v>し/しゃく　積聚　1792　鍼法要集　源長起_ページ_3.jpg</v>
      </c>
    </row>
    <row r="2132" spans="1:2" x14ac:dyDescent="0.15">
      <c r="A2132" t="s">
        <v>2108</v>
      </c>
      <c r="B2132" t="str">
        <f>HYPERLINK("し/しゃく　積聚　1800　鍼灸備要　小坂元祐_ページ_1.jpg")</f>
        <v>し/しゃく　積聚　1800　鍼灸備要　小坂元祐_ページ_1.jpg</v>
      </c>
    </row>
    <row r="2133" spans="1:2" x14ac:dyDescent="0.15">
      <c r="A2133" t="s">
        <v>2109</v>
      </c>
      <c r="B2133" t="str">
        <f>HYPERLINK("し/しゃく　積聚　1800　鍼灸備要　小坂元祐_ページ_2.jpg")</f>
        <v>し/しゃく　積聚　1800　鍼灸備要　小坂元祐_ページ_2.jpg</v>
      </c>
    </row>
    <row r="2134" spans="1:2" x14ac:dyDescent="0.15">
      <c r="A2134" t="s">
        <v>2110</v>
      </c>
      <c r="B2134" t="str">
        <f>HYPERLINK("し/しゃく　積聚　1800　鍼灸備要　小坂元祐_ページ_3.jpg")</f>
        <v>し/しゃく　積聚　1800　鍼灸備要　小坂元祐_ページ_3.jpg</v>
      </c>
    </row>
    <row r="2135" spans="1:2" x14ac:dyDescent="0.15">
      <c r="A2135" t="s">
        <v>2111</v>
      </c>
      <c r="B2135" t="str">
        <f>HYPERLINK("し/しゃく　積聚　1800　鍼灸備要　小坂元祐_ページ_4.jpg")</f>
        <v>し/しゃく　積聚　1800　鍼灸備要　小坂元祐_ページ_4.jpg</v>
      </c>
    </row>
    <row r="2136" spans="1:2" x14ac:dyDescent="0.15">
      <c r="A2136" t="s">
        <v>2112</v>
      </c>
      <c r="B2136" t="str">
        <f>HYPERLINK("し/しゃく　積聚　1800　鍼灸備要　小坂元祐_ページ_5.jpg")</f>
        <v>し/しゃく　積聚　1800　鍼灸備要　小坂元祐_ページ_5.jpg</v>
      </c>
    </row>
    <row r="2137" spans="1:2" x14ac:dyDescent="0.15">
      <c r="A2137" t="s">
        <v>2113</v>
      </c>
      <c r="B2137" t="str">
        <f>HYPERLINK("し/しゃく　積聚　1912年（大正01）　鍼灸手引草　久木田七郎.jpg")</f>
        <v>し/しゃく　積聚　1912年（大正01）　鍼灸手引草　久木田七郎.jpg</v>
      </c>
    </row>
    <row r="2138" spans="1:2" x14ac:dyDescent="0.15">
      <c r="A2138" t="s">
        <v>5515</v>
      </c>
      <c r="B2138" t="str">
        <f>HYPERLINK("し/しゃく　積聚　ちょうか　1807　続名家灸選　平井庸信_ページ_1.jpg")</f>
        <v>し/しゃく　積聚　ちょうか　1807　続名家灸選　平井庸信_ページ_1.jpg</v>
      </c>
    </row>
    <row r="2139" spans="1:2" x14ac:dyDescent="0.15">
      <c r="A2139" t="s">
        <v>2114</v>
      </c>
      <c r="B2139" t="str">
        <f>HYPERLINK("し/しゃく　積聚　ちょうか　1807　続名家灸選　平井庸信_ページ_2.jpg")</f>
        <v>し/しゃく　積聚　ちょうか　1807　続名家灸選　平井庸信_ページ_2.jpg</v>
      </c>
    </row>
    <row r="2140" spans="1:2" x14ac:dyDescent="0.15">
      <c r="A2140" t="s">
        <v>2115</v>
      </c>
      <c r="B2140" t="str">
        <f>HYPERLINK("し/しゃく　積聚　ちょうか　1807　続名家灸選　平井庸信_ページ_3.jpg")</f>
        <v>し/しゃく　積聚　ちょうか　1807　続名家灸選　平井庸信_ページ_3.jpg</v>
      </c>
    </row>
    <row r="2141" spans="1:2" x14ac:dyDescent="0.15">
      <c r="A2141" t="s">
        <v>2116</v>
      </c>
      <c r="B2141" t="str">
        <f>HYPERLINK("し/しゃく　積聚　ちょうか　1807　続名家灸選　平井庸信_ページ_4.jpg")</f>
        <v>し/しゃく　積聚　ちょうか　1807　続名家灸選　平井庸信_ページ_4.jpg</v>
      </c>
    </row>
    <row r="2142" spans="1:2" x14ac:dyDescent="0.15">
      <c r="A2142" t="s">
        <v>2117</v>
      </c>
      <c r="B2142" t="str">
        <f>HYPERLINK("し/しゃく　積聚　ちょうか　1813　名家灸選　浅井惟亨_ページ_1.jpg")</f>
        <v>し/しゃく　積聚　ちょうか　1813　名家灸選　浅井惟亨_ページ_1.jpg</v>
      </c>
    </row>
    <row r="2143" spans="1:2" x14ac:dyDescent="0.15">
      <c r="A2143" t="s">
        <v>2118</v>
      </c>
      <c r="B2143" t="str">
        <f>HYPERLINK("し/しゃく　積聚　ちょうか　1813　名家灸選　浅井惟亨_ページ_2.jpg")</f>
        <v>し/しゃく　積聚　ちょうか　1813　名家灸選　浅井惟亨_ページ_2.jpg</v>
      </c>
    </row>
    <row r="2144" spans="1:2" x14ac:dyDescent="0.15">
      <c r="A2144" t="s">
        <v>2119</v>
      </c>
      <c r="B2144" t="str">
        <f>HYPERLINK("し/しゃく　積聚　はらのかたまり　1718　鍼灸重宝記　本郷正豊_ページ_1.jpg")</f>
        <v>し/しゃく　積聚　はらのかたまり　1718　鍼灸重宝記　本郷正豊_ページ_1.jpg</v>
      </c>
    </row>
    <row r="2145" spans="1:2" x14ac:dyDescent="0.15">
      <c r="A2145" t="s">
        <v>2120</v>
      </c>
      <c r="B2145" t="str">
        <f>HYPERLINK("し/しゃく　積聚　はらのかたまり　1718　鍼灸重宝記　本郷正豊_ページ_2.jpg")</f>
        <v>し/しゃく　積聚　はらのかたまり　1718　鍼灸重宝記　本郷正豊_ページ_2.jpg</v>
      </c>
    </row>
    <row r="2146" spans="1:2" x14ac:dyDescent="0.15">
      <c r="A2146" t="s">
        <v>2121</v>
      </c>
      <c r="B2146" t="str">
        <f>HYPERLINK("し/しゃく　積聚　成書年未詳　灸穴集　著者未詳_ページ_01.jpg")</f>
        <v>し/しゃく　積聚　成書年未詳　灸穴集　著者未詳_ページ_01.jpg</v>
      </c>
    </row>
    <row r="2147" spans="1:2" x14ac:dyDescent="0.15">
      <c r="A2147" t="s">
        <v>2122</v>
      </c>
      <c r="B2147" t="str">
        <f>HYPERLINK("し/しゃく　積聚　成書年未詳　灸穴集　著者未詳_ページ_02.jpg")</f>
        <v>し/しゃく　積聚　成書年未詳　灸穴集　著者未詳_ページ_02.jpg</v>
      </c>
    </row>
    <row r="2148" spans="1:2" x14ac:dyDescent="0.15">
      <c r="A2148" t="s">
        <v>2123</v>
      </c>
      <c r="B2148" t="str">
        <f>HYPERLINK("し/しゃく　積聚　成書年未詳　灸穴集　著者未詳_ページ_03.jpg")</f>
        <v>し/しゃく　積聚　成書年未詳　灸穴集　著者未詳_ページ_03.jpg</v>
      </c>
    </row>
    <row r="2149" spans="1:2" x14ac:dyDescent="0.15">
      <c r="A2149" t="s">
        <v>2124</v>
      </c>
      <c r="B2149" t="str">
        <f>HYPERLINK("し/しゃく　積聚　成書年未詳　灸穴集　著者未詳_ページ_04.jpg")</f>
        <v>し/しゃく　積聚　成書年未詳　灸穴集　著者未詳_ページ_04.jpg</v>
      </c>
    </row>
    <row r="2150" spans="1:2" x14ac:dyDescent="0.15">
      <c r="A2150" t="s">
        <v>2125</v>
      </c>
      <c r="B2150" t="str">
        <f>HYPERLINK("し/しゃく　積聚　成書年未詳　灸穴集　著者未詳_ページ_05.jpg")</f>
        <v>し/しゃく　積聚　成書年未詳　灸穴集　著者未詳_ページ_05.jpg</v>
      </c>
    </row>
    <row r="2151" spans="1:2" x14ac:dyDescent="0.15">
      <c r="A2151" t="s">
        <v>2126</v>
      </c>
      <c r="B2151" t="str">
        <f>HYPERLINK("し/しゃく　積聚　成書年未詳　灸穴集　著者未詳_ページ_06.jpg")</f>
        <v>し/しゃく　積聚　成書年未詳　灸穴集　著者未詳_ページ_06.jpg</v>
      </c>
    </row>
    <row r="2152" spans="1:2" x14ac:dyDescent="0.15">
      <c r="A2152" t="s">
        <v>2127</v>
      </c>
      <c r="B2152" t="str">
        <f>HYPERLINK("し/しゃく　積聚　成書年未詳　灸穴集　著者未詳_ページ_07.jpg")</f>
        <v>し/しゃく　積聚　成書年未詳　灸穴集　著者未詳_ページ_07.jpg</v>
      </c>
    </row>
    <row r="2153" spans="1:2" x14ac:dyDescent="0.15">
      <c r="A2153" t="s">
        <v>2128</v>
      </c>
      <c r="B2153" t="str">
        <f>HYPERLINK("し/しゃく　積聚　成書年未詳　灸穴集　著者未詳_ページ_08.jpg")</f>
        <v>し/しゃく　積聚　成書年未詳　灸穴集　著者未詳_ページ_08.jpg</v>
      </c>
    </row>
    <row r="2154" spans="1:2" x14ac:dyDescent="0.15">
      <c r="A2154" t="s">
        <v>2129</v>
      </c>
      <c r="B2154" t="str">
        <f>HYPERLINK("し/しゃく　積聚　成書年未詳　灸穴集　著者未詳_ページ_09.jpg")</f>
        <v>し/しゃく　積聚　成書年未詳　灸穴集　著者未詳_ページ_09.jpg</v>
      </c>
    </row>
    <row r="2155" spans="1:2" x14ac:dyDescent="0.15">
      <c r="A2155" t="s">
        <v>2130</v>
      </c>
      <c r="B2155" t="str">
        <f>HYPERLINK("し/しゃく　積聚　成書年未詳　灸穴集　著者未詳_ページ_10.jpg")</f>
        <v>し/しゃく　積聚　成書年未詳　灸穴集　著者未詳_ページ_10.jpg</v>
      </c>
    </row>
    <row r="2156" spans="1:2" x14ac:dyDescent="0.15">
      <c r="A2156" t="s">
        <v>2131</v>
      </c>
      <c r="B2156" t="str">
        <f>HYPERLINK("し/しゃく　積聚　成書年未詳　灸穴集　著者未詳_ページ_11.jpg")</f>
        <v>し/しゃく　積聚　成書年未詳　灸穴集　著者未詳_ページ_11.jpg</v>
      </c>
    </row>
    <row r="2157" spans="1:2" x14ac:dyDescent="0.15">
      <c r="A2157" t="s">
        <v>2132</v>
      </c>
      <c r="B2157" t="str">
        <f>HYPERLINK("し/しゃく　積聚　成書年未詳　灸穴集　著者未詳_ページ_12.jpg")</f>
        <v>し/しゃく　積聚　成書年未詳　灸穴集　著者未詳_ページ_12.jpg</v>
      </c>
    </row>
    <row r="2158" spans="1:2" x14ac:dyDescent="0.15">
      <c r="A2158" t="s">
        <v>2133</v>
      </c>
      <c r="B2158" t="str">
        <f>HYPERLINK("し/しゃく　積聚　成書年未詳　経穴図解　著者未詳_ページ_1.jpg")</f>
        <v>し/しゃく　積聚　成書年未詳　経穴図解　著者未詳_ページ_1.jpg</v>
      </c>
    </row>
    <row r="2159" spans="1:2" x14ac:dyDescent="0.15">
      <c r="A2159" t="s">
        <v>2134</v>
      </c>
      <c r="B2159" t="str">
        <f>HYPERLINK("し/しゃく　積聚　成書年未詳　経穴図解　著者未詳_ページ_2.jpg")</f>
        <v>し/しゃく　積聚　成書年未詳　経穴図解　著者未詳_ページ_2.jpg</v>
      </c>
    </row>
    <row r="2160" spans="1:2" x14ac:dyDescent="0.15">
      <c r="A2160" t="s">
        <v>2135</v>
      </c>
      <c r="B2160" t="str">
        <f>HYPERLINK("し/しゃく　積聚、腹脹りて石の如く、坐臥安からず、二便渋り、上気、遍身腫る　しゃくじゅうにありて石のごとく、小便つうぜず、総身はれる人　1780　鍼灸極秘伝　木村太沖.jpg")</f>
        <v>し/しゃく　積聚、腹脹りて石の如く、坐臥安からず、二便渋り、上気、遍身腫る　しゃくじゅうにありて石のごとく、小便つうぜず、総身はれる人　1780　鍼灸極秘伝　木村太沖.jpg</v>
      </c>
    </row>
    <row r="2161" spans="1:2" x14ac:dyDescent="0.15">
      <c r="A2161" t="s">
        <v>2136</v>
      </c>
      <c r="B2161" t="str">
        <f>HYPERLINK("し/しゃく　積聚痞塊　1624　類経図翼　明・張介賓_ページ_1.jpg")</f>
        <v>し/しゃく　積聚痞塊　1624　類経図翼　明・張介賓_ページ_1.jpg</v>
      </c>
    </row>
    <row r="2162" spans="1:2" x14ac:dyDescent="0.15">
      <c r="A2162" t="s">
        <v>2137</v>
      </c>
      <c r="B2162" t="str">
        <f>HYPERLINK("し/しゃく　積聚痞塊　1624　類経図翼　明・張介賓_ページ_2.jpg")</f>
        <v>し/しゃく　積聚痞塊　1624　類経図翼　明・張介賓_ページ_2.jpg</v>
      </c>
    </row>
    <row r="2163" spans="1:2" x14ac:dyDescent="0.15">
      <c r="A2163" t="s">
        <v>2138</v>
      </c>
      <c r="B2163" t="str">
        <f>HYPERLINK("し/しゃく　積聚痞塊　1624　類経図翼　明・張介賓_ページ_3.jpg")</f>
        <v>し/しゃく　積聚痞塊　1624　類経図翼　明・張介賓_ページ_3.jpg</v>
      </c>
    </row>
    <row r="2164" spans="1:2" x14ac:dyDescent="0.15">
      <c r="A2164" t="s">
        <v>2139</v>
      </c>
      <c r="B2164" t="str">
        <f>HYPERLINK("し/しゃく　積聚痞塊　1624　類経図翼　明・張介賓_ページ_4.jpg")</f>
        <v>し/しゃく　積聚痞塊　1624　類経図翼　明・張介賓_ページ_4.jpg</v>
      </c>
    </row>
    <row r="2165" spans="1:2" x14ac:dyDescent="0.15">
      <c r="A2165" t="s">
        <v>2140</v>
      </c>
      <c r="B2165" t="str">
        <f>HYPERLINK("し/しゃく　積聚痞塊　1694　選鍼三要集　杉山和一.jpg")</f>
        <v>し/しゃく　積聚痞塊　1694　選鍼三要集　杉山和一.jpg</v>
      </c>
    </row>
    <row r="2166" spans="1:2" x14ac:dyDescent="0.15">
      <c r="A2166" t="s">
        <v>2141</v>
      </c>
      <c r="B2166" t="str">
        <f>HYPERLINK("し/しゃく　積聚痞塊　1703　鍼灸阿是要穴　岡本一抱.jpg")</f>
        <v>し/しゃく　積聚痞塊　1703　鍼灸阿是要穴　岡本一抱.jpg</v>
      </c>
    </row>
    <row r="2167" spans="1:2" x14ac:dyDescent="0.15">
      <c r="A2167" t="s">
        <v>2142</v>
      </c>
      <c r="B2167" t="str">
        <f>HYPERLINK("し/しゃく　積聚痞塊　1761　挨穴捷径　杉原敦_ページ_1.jpg")</f>
        <v>し/しゃく　積聚痞塊　1761　挨穴捷径　杉原敦_ページ_1.jpg</v>
      </c>
    </row>
    <row r="2168" spans="1:2" x14ac:dyDescent="0.15">
      <c r="A2168" t="s">
        <v>2143</v>
      </c>
      <c r="B2168" t="str">
        <f>HYPERLINK("し/しゃく　積聚痞塊　1761　挨穴捷径　杉原敦_ページ_2.jpg")</f>
        <v>し/しゃく　積聚痞塊　1761　挨穴捷径　杉原敦_ページ_2.jpg</v>
      </c>
    </row>
    <row r="2169" spans="1:2" x14ac:dyDescent="0.15">
      <c r="A2169" t="s">
        <v>2144</v>
      </c>
      <c r="B2169" t="str">
        <f>HYPERLINK("し/しゃく　積聚諸塊　1563　鍼灸集要　曲直瀬道三.jpg")</f>
        <v>し/しゃく　積聚諸塊　1563　鍼灸集要　曲直瀬道三.jpg</v>
      </c>
    </row>
    <row r="2170" spans="1:2" x14ac:dyDescent="0.15">
      <c r="A2170" t="s">
        <v>2145</v>
      </c>
      <c r="B2170" t="str">
        <f>HYPERLINK("し/しゃく　積聚（しやくじゅ）　しゃくじゅ　印華爾屈篤（インハルクト）　1887（明治20）　鍼灸備要　青山道醇_ページ_1.jpg")</f>
        <v>し/しゃく　積聚（しやくじゅ）　しゃくじゅ　印華爾屈篤（インハルクト）　1887（明治20）　鍼灸備要　青山道醇_ページ_1.jpg</v>
      </c>
    </row>
    <row r="2171" spans="1:2" x14ac:dyDescent="0.15">
      <c r="A2171" t="s">
        <v>2146</v>
      </c>
      <c r="B2171" t="str">
        <f>HYPERLINK("し/しゃく　積聚（しやくじゅ）　しゃくじゅ　印華爾屈篤（インハルクト）　1887（明治20）　鍼灸備要　青山道醇_ページ_2.jpg")</f>
        <v>し/しゃく　積聚（しやくじゅ）　しゃくじゅ　印華爾屈篤（インハルクト）　1887（明治20）　鍼灸備要　青山道醇_ページ_2.jpg</v>
      </c>
    </row>
    <row r="2172" spans="1:2" x14ac:dyDescent="0.15">
      <c r="A2172" t="s">
        <v>2147</v>
      </c>
      <c r="B2172" t="str">
        <f>HYPERLINK("し/しゃく　諸般積聚部　1425　神応経　明・陳会撰・劉瑾重校_ページ_1.jpg")</f>
        <v>し/しゃく　諸般積聚部　1425　神応経　明・陳会撰・劉瑾重校_ページ_1.jpg</v>
      </c>
    </row>
    <row r="2173" spans="1:2" x14ac:dyDescent="0.15">
      <c r="A2173" t="s">
        <v>2148</v>
      </c>
      <c r="B2173" t="str">
        <f>HYPERLINK("し/しゃく　諸般積聚部　1425　神応経　明・陳会撰・劉瑾重校_ページ_2.jpg")</f>
        <v>し/しゃく　諸般積聚部　1425　神応経　明・陳会撰・劉瑾重校_ページ_2.jpg</v>
      </c>
    </row>
    <row r="2174" spans="1:2" x14ac:dyDescent="0.15">
      <c r="A2174" t="s">
        <v>2149</v>
      </c>
      <c r="B2174" t="str">
        <f>HYPERLINK("し/しゅ　手之病　1792　鍼法要集　源長起_ページ_1.jpg")</f>
        <v>し/しゅ　手之病　1792　鍼法要集　源長起_ページ_1.jpg</v>
      </c>
    </row>
    <row r="2175" spans="1:2" x14ac:dyDescent="0.15">
      <c r="A2175" t="s">
        <v>2150</v>
      </c>
      <c r="B2175" t="str">
        <f>HYPERLINK("し/しゅ　手之病　1792　鍼法要集　源長起_ページ_2.jpg")</f>
        <v>し/しゅ　手之病　1792　鍼法要集　源長起_ページ_2.jpg</v>
      </c>
    </row>
    <row r="2176" spans="1:2" x14ac:dyDescent="0.15">
      <c r="A2176" t="s">
        <v>2151</v>
      </c>
      <c r="B2176" t="str">
        <f>HYPERLINK("し/しゅ　手之病　1792　鍼法要集　源長起_ページ_3.jpg")</f>
        <v>し/しゅ　手之病　1792　鍼法要集　源長起_ページ_3.jpg</v>
      </c>
    </row>
    <row r="2177" spans="1:2" x14ac:dyDescent="0.15">
      <c r="A2177" t="s">
        <v>2152</v>
      </c>
      <c r="B2177" t="str">
        <f>HYPERLINK("し/しゅ　手指　1680　鍼灸抜萃　著者未詳.jpg")</f>
        <v>し/しゅ　手指　1680　鍼灸抜萃　著者未詳.jpg</v>
      </c>
    </row>
    <row r="2178" spans="1:2" x14ac:dyDescent="0.15">
      <c r="A2178" t="s">
        <v>2153</v>
      </c>
      <c r="B2178" t="str">
        <f>HYPERLINK("し/しゅ　手指　1693　鍼灸要歌集　安井昌玄.jpg")</f>
        <v>し/しゅ　手指　1693　鍼灸要歌集　安井昌玄.jpg</v>
      </c>
    </row>
    <row r="2179" spans="1:2" x14ac:dyDescent="0.15">
      <c r="A2179" t="s">
        <v>2154</v>
      </c>
      <c r="B2179" t="str">
        <f>HYPERLINK("し/しゅ　手指　1696　広益鍼灸抜萃　著者未詳.jpg")</f>
        <v>し/しゅ　手指　1696　広益鍼灸抜萃　著者未詳.jpg</v>
      </c>
    </row>
    <row r="2180" spans="1:2" x14ac:dyDescent="0.15">
      <c r="A2180" t="s">
        <v>2155</v>
      </c>
      <c r="B2180" t="str">
        <f>HYPERLINK("し/しゅ　手指　1718　鍼灸重宝記　本郷正豊.jpg")</f>
        <v>し/しゅ　手指　1718　鍼灸重宝記　本郷正豊.jpg</v>
      </c>
    </row>
    <row r="2181" spans="1:2" x14ac:dyDescent="0.15">
      <c r="A2181" t="s">
        <v>2156</v>
      </c>
      <c r="B2181" t="str">
        <f>HYPERLINK("し/しゅ　手指　1773　鍼灸手引草　大簡室主人.jpg")</f>
        <v>し/しゅ　手指　1773　鍼灸手引草　大簡室主人.jpg</v>
      </c>
    </row>
    <row r="2182" spans="1:2" x14ac:dyDescent="0.15">
      <c r="A2182" t="s">
        <v>2157</v>
      </c>
      <c r="B2182" t="str">
        <f>HYPERLINK("し/しゅ　手指拘攣　1912年（大正01）　鍼灸手引草　久木田七郎.jpg")</f>
        <v>し/しゅ　手指拘攣　1912年（大正01）　鍼灸手引草　久木田七郎.jpg</v>
      </c>
    </row>
    <row r="2183" spans="1:2" x14ac:dyDescent="0.15">
      <c r="A2183" t="s">
        <v>2158</v>
      </c>
      <c r="B2183" t="str">
        <f>HYPERLINK("し/しゅ　手指掌腕　1669　鍼灸枢要　山本玄通_ページ_1.jpg")</f>
        <v>し/しゅ　手指掌腕　1669　鍼灸枢要　山本玄通_ページ_1.jpg</v>
      </c>
    </row>
    <row r="2184" spans="1:2" x14ac:dyDescent="0.15">
      <c r="A2184" t="s">
        <v>2159</v>
      </c>
      <c r="B2184" t="str">
        <f>HYPERLINK("し/しゅ　手指掌腕　1669　鍼灸枢要　山本玄通_ページ_2.jpg")</f>
        <v>し/しゅ　手指掌腕　1669　鍼灸枢要　山本玄通_ページ_2.jpg</v>
      </c>
    </row>
    <row r="2185" spans="1:2" x14ac:dyDescent="0.15">
      <c r="A2185" t="s">
        <v>2160</v>
      </c>
      <c r="B2185" t="str">
        <f>HYPERLINK("し/しゅ　手指掌腕　1669　鍼灸枢要　山本玄通_ページ_3.jpg")</f>
        <v>し/しゅ　手指掌腕　1669　鍼灸枢要　山本玄通_ページ_3.jpg</v>
      </c>
    </row>
    <row r="2186" spans="1:2" x14ac:dyDescent="0.15">
      <c r="A2186" t="s">
        <v>2161</v>
      </c>
      <c r="B2186" t="str">
        <f>HYPERLINK("し/しゅ　手指掌腕　1669　鍼灸枢要　山本玄通_ページ_4.jpg")</f>
        <v>し/しゅ　手指掌腕　1669　鍼灸枢要　山本玄通_ページ_4.jpg</v>
      </c>
    </row>
    <row r="2187" spans="1:2" x14ac:dyDescent="0.15">
      <c r="A2187" t="s">
        <v>2162</v>
      </c>
      <c r="B2187" t="str">
        <f>HYPERLINK("し/しゅ　手指掌腕　1669　鍼灸枢要　山本玄通_ページ_5.jpg")</f>
        <v>し/しゅ　手指掌腕　1669　鍼灸枢要　山本玄通_ページ_5.jpg</v>
      </c>
    </row>
    <row r="2188" spans="1:2" x14ac:dyDescent="0.15">
      <c r="A2188" t="s">
        <v>2163</v>
      </c>
      <c r="B2188" t="str">
        <f>HYPERLINK("し/しゅ　手指掌腕　1800　鍼灸備要　小坂元祐_ページ_1.jpg")</f>
        <v>し/しゅ　手指掌腕　1800　鍼灸備要　小坂元祐_ページ_1.jpg</v>
      </c>
    </row>
    <row r="2189" spans="1:2" x14ac:dyDescent="0.15">
      <c r="A2189" t="s">
        <v>2164</v>
      </c>
      <c r="B2189" t="str">
        <f>HYPERLINK("し/しゅ　手指掌腕　1800　鍼灸備要　小坂元祐_ページ_2.jpg")</f>
        <v>し/しゅ　手指掌腕　1800　鍼灸備要　小坂元祐_ページ_2.jpg</v>
      </c>
    </row>
    <row r="2190" spans="1:2" x14ac:dyDescent="0.15">
      <c r="A2190" t="s">
        <v>2165</v>
      </c>
      <c r="B2190" t="str">
        <f>HYPERLINK("し/しゅ　手指攣　1220　鍼灸資生経　王執中.jpg")</f>
        <v>し/しゅ　手指攣　1220　鍼灸資生経　王執中.jpg</v>
      </c>
    </row>
    <row r="2191" spans="1:2" x14ac:dyDescent="0.15">
      <c r="A2191" t="s">
        <v>2166</v>
      </c>
      <c r="B2191" t="str">
        <f>HYPERLINK("し/しゅ　手熱　1220　鍼灸資生経　王執中_ページ_1.jpg")</f>
        <v>し/しゅ　手熱　1220　鍼灸資生経　王執中_ページ_1.jpg</v>
      </c>
    </row>
    <row r="2192" spans="1:2" x14ac:dyDescent="0.15">
      <c r="A2192" t="s">
        <v>2167</v>
      </c>
      <c r="B2192" t="str">
        <f>HYPERLINK("し/しゅ　手熱　1220　鍼灸資生経　王執中_ページ_2.jpg")</f>
        <v>し/しゅ　手熱　1220　鍼灸資生経　王執中_ページ_2.jpg</v>
      </c>
    </row>
    <row r="2193" spans="1:2" x14ac:dyDescent="0.15">
      <c r="A2193" t="s">
        <v>2168</v>
      </c>
      <c r="B2193" t="str">
        <f>HYPERLINK("し/しゅ　手病　0650　千金方　孫思ばく.jpg")</f>
        <v>し/しゅ　手病　0650　千金方　孫思ばく.jpg</v>
      </c>
    </row>
    <row r="2194" spans="1:2" x14ac:dyDescent="0.15">
      <c r="A2194" t="s">
        <v>2169</v>
      </c>
      <c r="B2194" t="str">
        <f>HYPERLINK("し/しゅ　手痛　1686　鍼灸要法指南　岩田利斎_ページ_1.jpg")</f>
        <v>し/しゅ　手痛　1686　鍼灸要法指南　岩田利斎_ページ_1.jpg</v>
      </c>
    </row>
    <row r="2195" spans="1:2" x14ac:dyDescent="0.15">
      <c r="A2195" t="s">
        <v>2170</v>
      </c>
      <c r="B2195" t="str">
        <f>HYPERLINK("し/しゅ　手痛　1686　鍼灸要法指南　岩田利斎_ページ_2.jpg")</f>
        <v>し/しゅ　手痛　1686　鍼灸要法指南　岩田利斎_ページ_2.jpg</v>
      </c>
    </row>
    <row r="2196" spans="1:2" x14ac:dyDescent="0.15">
      <c r="A2196" t="s">
        <v>2171</v>
      </c>
      <c r="B2196" t="str">
        <f>HYPERLINK("し/しゅ　手痛　1767　鍼灸則　菅沼周桂.jpg")</f>
        <v>し/しゅ　手痛　1767　鍼灸則　菅沼周桂.jpg</v>
      </c>
    </row>
    <row r="2197" spans="1:2" x14ac:dyDescent="0.15">
      <c r="A2197" t="s">
        <v>2172</v>
      </c>
      <c r="B2197" t="str">
        <f>HYPERLINK("し/しゅ　手痛不挙　1694　選鍼三要集　杉山和一.jpg")</f>
        <v>し/しゅ　手痛不挙　1694　選鍼三要集　杉山和一.jpg</v>
      </c>
    </row>
    <row r="2198" spans="1:2" x14ac:dyDescent="0.15">
      <c r="A2198" t="s">
        <v>2173</v>
      </c>
      <c r="B2198" t="str">
        <f>HYPERLINK("し/しゅ　手肘痛之針穴　1613　古今集鍼法　長生庵了味か.jpg")</f>
        <v>し/しゅ　手肘痛之針穴　1613　古今集鍼法　長生庵了味か.jpg</v>
      </c>
    </row>
    <row r="2199" spans="1:2" x14ac:dyDescent="0.15">
      <c r="A2199" t="s">
        <v>2174</v>
      </c>
      <c r="B2199" t="str">
        <f>HYPERLINK("し/しゅ　手腕疼　1329　扁鵲神応鍼灸玉龍経　元・王国瑞.jpg")</f>
        <v>し/しゅ　手腕疼　1329　扁鵲神応鍼灸玉龍経　元・王国瑞.jpg</v>
      </c>
    </row>
    <row r="2200" spans="1:2" x14ac:dyDescent="0.15">
      <c r="A2200" t="s">
        <v>2175</v>
      </c>
      <c r="B2200" t="str">
        <f>HYPERLINK("し/しゅ　手足病　1624　類経図翼　明・張介賓_ページ_1.jpg")</f>
        <v>し/しゅ　手足病　1624　類経図翼　明・張介賓_ページ_1.jpg</v>
      </c>
    </row>
    <row r="2201" spans="1:2" x14ac:dyDescent="0.15">
      <c r="A2201" t="s">
        <v>2176</v>
      </c>
      <c r="B2201" t="str">
        <f>HYPERLINK("し/しゅ　手足病　1624　類経図翼　明・張介賓_ページ_2.jpg")</f>
        <v>し/しゅ　手足病　1624　類経図翼　明・張介賓_ページ_2.jpg</v>
      </c>
    </row>
    <row r="2202" spans="1:2" x14ac:dyDescent="0.15">
      <c r="A2202" t="s">
        <v>2177</v>
      </c>
      <c r="B2202" t="str">
        <f>HYPERLINK("し/しゅ　手足病　1624　類経図翼　明・張介賓_ページ_3.jpg")</f>
        <v>し/しゅ　手足病　1624　類経図翼　明・張介賓_ページ_3.jpg</v>
      </c>
    </row>
    <row r="2203" spans="1:2" x14ac:dyDescent="0.15">
      <c r="A2203" t="s">
        <v>2178</v>
      </c>
      <c r="B2203" t="str">
        <f>HYPERLINK("し/しゅ　手足病　1624　類経図翼　明・張介賓_ページ_4.jpg")</f>
        <v>し/しゅ　手足病　1624　類経図翼　明・張介賓_ページ_4.jpg</v>
      </c>
    </row>
    <row r="2204" spans="1:2" x14ac:dyDescent="0.15">
      <c r="A2204" t="s">
        <v>2179</v>
      </c>
      <c r="B2204" t="str">
        <f>HYPERLINK("し/しゅ　手足病　1624　類経図翼　明・張介賓_ページ_5.jpg")</f>
        <v>し/しゅ　手足病　1624　類経図翼　明・張介賓_ページ_5.jpg</v>
      </c>
    </row>
    <row r="2205" spans="1:2" x14ac:dyDescent="0.15">
      <c r="A2205" t="s">
        <v>2180</v>
      </c>
      <c r="B2205" t="str">
        <f>HYPERLINK("し/しゅ　手足病　1761　挨穴捷径　杉原敦_ページ_1.jpg")</f>
        <v>し/しゅ　手足病　1761　挨穴捷径　杉原敦_ページ_1.jpg</v>
      </c>
    </row>
    <row r="2206" spans="1:2" x14ac:dyDescent="0.15">
      <c r="A2206" t="s">
        <v>2181</v>
      </c>
      <c r="B2206" t="str">
        <f>HYPERLINK("し/しゅ　手足病　1761　挨穴捷径　杉原敦_ページ_2.jpg")</f>
        <v>し/しゅ　手足病　1761　挨穴捷径　杉原敦_ページ_2.jpg</v>
      </c>
    </row>
    <row r="2207" spans="1:2" x14ac:dyDescent="0.15">
      <c r="A2207" t="s">
        <v>2182</v>
      </c>
      <c r="B2207" t="str">
        <f>HYPERLINK("し/しゅ　手足病　1761　挨穴捷径　杉原敦_ページ_3.jpg")</f>
        <v>し/しゅ　手足病　1761　挨穴捷径　杉原敦_ページ_3.jpg</v>
      </c>
    </row>
    <row r="2208" spans="1:2" x14ac:dyDescent="0.15">
      <c r="A2208" t="s">
        <v>2183</v>
      </c>
      <c r="B2208" t="str">
        <f>HYPERLINK("し/しゅ　手足病　1761　挨穴捷径　杉原敦_ページ_4.jpg")</f>
        <v>し/しゅ　手足病　1761　挨穴捷径　杉原敦_ページ_4.jpg</v>
      </c>
    </row>
    <row r="2209" spans="1:2" x14ac:dyDescent="0.15">
      <c r="A2209" t="s">
        <v>2184</v>
      </c>
      <c r="B2209" t="str">
        <f>HYPERLINK("し/しゅ　手足腰腋部　1425　神応経　明・陳会撰・劉瑾重校_ページ_1.jpg")</f>
        <v>し/しゅ　手足腰腋部　1425　神応経　明・陳会撰・劉瑾重校_ページ_1.jpg</v>
      </c>
    </row>
    <row r="2210" spans="1:2" x14ac:dyDescent="0.15">
      <c r="A2210" t="s">
        <v>2185</v>
      </c>
      <c r="B2210" t="str">
        <f>HYPERLINK("し/しゅ　手足腰腋部　1425　神応経　明・陳会撰・劉瑾重校_ページ_2.jpg")</f>
        <v>し/しゅ　手足腰腋部　1425　神応経　明・陳会撰・劉瑾重校_ページ_2.jpg</v>
      </c>
    </row>
    <row r="2211" spans="1:2" x14ac:dyDescent="0.15">
      <c r="A2211" t="s">
        <v>2186</v>
      </c>
      <c r="B2211" t="str">
        <f>HYPERLINK("し/しゅ　手足腰腋部　1425　神応経　明・陳会撰・劉瑾重校_ページ_3.jpg")</f>
        <v>し/しゅ　手足腰腋部　1425　神応経　明・陳会撰・劉瑾重校_ページ_3.jpg</v>
      </c>
    </row>
    <row r="2212" spans="1:2" x14ac:dyDescent="0.15">
      <c r="A2212" t="s">
        <v>2187</v>
      </c>
      <c r="B2212" t="str">
        <f>HYPERLINK("し/しゅ　手足腰腋部　1425　神応経　明・陳会撰・劉瑾重校_ページ_4.jpg")</f>
        <v>し/しゅ　手足腰腋部　1425　神応経　明・陳会撰・劉瑾重校_ページ_4.jpg</v>
      </c>
    </row>
    <row r="2213" spans="1:2" x14ac:dyDescent="0.15">
      <c r="A2213" t="s">
        <v>2188</v>
      </c>
      <c r="B2213" t="str">
        <f>HYPERLINK("し/しゅ　手麻痺　1912年（大正01）　鍼灸手引草　久木田七郎_ページ_1.jpg")</f>
        <v>し/しゅ　手麻痺　1912年（大正01）　鍼灸手引草　久木田七郎_ページ_1.jpg</v>
      </c>
    </row>
    <row r="2214" spans="1:2" x14ac:dyDescent="0.15">
      <c r="A2214" t="s">
        <v>2189</v>
      </c>
      <c r="B2214" t="str">
        <f>HYPERLINK("し/しゅ　手麻痺　1912年（大正01）　鍼灸手引草　久木田七郎_ページ_2.jpg")</f>
        <v>し/しゅ　手麻痺　1912年（大正01）　鍼灸手引草　久木田七郎_ページ_2.jpg</v>
      </c>
    </row>
    <row r="2215" spans="1:2" x14ac:dyDescent="0.15">
      <c r="A2215" t="s">
        <v>2190</v>
      </c>
      <c r="B2215" t="str">
        <f>HYPERLINK("し/しゅ　手麻痺不仁（不挙）　1220　鍼灸資生経　王執中_ページ_1.jpg")</f>
        <v>し/しゅ　手麻痺不仁（不挙）　1220　鍼灸資生経　王執中_ページ_1.jpg</v>
      </c>
    </row>
    <row r="2216" spans="1:2" x14ac:dyDescent="0.15">
      <c r="A2216" t="s">
        <v>2191</v>
      </c>
      <c r="B2216" t="str">
        <f>HYPERLINK("し/しゅ　手麻痺不仁（不挙）　1220　鍼灸資生経　王執中_ページ_2.jpg")</f>
        <v>し/しゅ　手麻痺不仁（不挙）　1220　鍼灸資生経　王執中_ページ_2.jpg</v>
      </c>
    </row>
    <row r="2217" spans="1:2" x14ac:dyDescent="0.15">
      <c r="A2217" t="s">
        <v>2192</v>
      </c>
      <c r="B2217" t="str">
        <f>HYPERLINK("し/しゅ　毎年発腫物妙灸　成書年未詳　灸穴集　著者未詳.jpg")</f>
        <v>し/しゅ　毎年発腫物妙灸　成書年未詳　灸穴集　著者未詳.jpg</v>
      </c>
    </row>
    <row r="2218" spans="1:2" x14ac:dyDescent="0.15">
      <c r="A2218" t="s">
        <v>2193</v>
      </c>
      <c r="B2218" t="str">
        <f>HYPERLINK("し/しゅ　腫物妙灸-02　1594　経脈方寸秘書　曲直瀬道三_ページ_1.jpg")</f>
        <v>し/しゅ　腫物妙灸-02　1594　経脈方寸秘書　曲直瀬道三_ページ_1.jpg</v>
      </c>
    </row>
    <row r="2219" spans="1:2" x14ac:dyDescent="0.15">
      <c r="A2219" t="s">
        <v>2194</v>
      </c>
      <c r="B2219" t="str">
        <f>HYPERLINK("し/しゅ　腫物妙灸-02　1594　経脈方寸秘書　曲直瀬道三_ページ_2.jpg")</f>
        <v>し/しゅ　腫物妙灸-02　1594　経脈方寸秘書　曲直瀬道三_ページ_2.jpg</v>
      </c>
    </row>
    <row r="2220" spans="1:2" x14ac:dyDescent="0.15">
      <c r="A2220" t="s">
        <v>2195</v>
      </c>
      <c r="B2220" t="str">
        <f>HYPERLINK("し/しゅ　腫物妙灸　1594　経脈方寸秘書　曲直瀬道三_ページ_1.jpg")</f>
        <v>し/しゅ　腫物妙灸　1594　経脈方寸秘書　曲直瀬道三_ページ_1.jpg</v>
      </c>
    </row>
    <row r="2221" spans="1:2" x14ac:dyDescent="0.15">
      <c r="A2221" t="s">
        <v>2196</v>
      </c>
      <c r="B2221" t="str">
        <f>HYPERLINK("し/しゅ　腫物妙灸　1594　経脈方寸秘書　曲直瀬道三_ページ_2.jpg")</f>
        <v>し/しゅ　腫物妙灸　1594　経脈方寸秘書　曲直瀬道三_ページ_2.jpg</v>
      </c>
    </row>
    <row r="2222" spans="1:2" x14ac:dyDescent="0.15">
      <c r="A2222" t="s">
        <v>2197</v>
      </c>
      <c r="B2222" t="str">
        <f>HYPERLINK("し/しゅ　腫脹　1425　神応経　明・陳会撰・劉瑾重校_ページ_1.jpg")</f>
        <v>し/しゅ　腫脹　1425　神応経　明・陳会撰・劉瑾重校_ページ_1.jpg</v>
      </c>
    </row>
    <row r="2223" spans="1:2" x14ac:dyDescent="0.15">
      <c r="A2223" t="s">
        <v>2198</v>
      </c>
      <c r="B2223" t="str">
        <f>HYPERLINK("し/しゅ　腫脹　1425　神応経　明・陳会撰・劉瑾重校_ページ_2.jpg")</f>
        <v>し/しゅ　腫脹　1425　神応経　明・陳会撰・劉瑾重校_ページ_2.jpg</v>
      </c>
    </row>
    <row r="2224" spans="1:2" x14ac:dyDescent="0.15">
      <c r="A2224" t="s">
        <v>2199</v>
      </c>
      <c r="B2224" t="str">
        <f>HYPERLINK("し/しゅ　腫脹　1807　続名家灸選　平井庸信_ページ_1.jpg")</f>
        <v>し/しゅ　腫脹　1807　続名家灸選　平井庸信_ページ_1.jpg</v>
      </c>
    </row>
    <row r="2225" spans="1:2" x14ac:dyDescent="0.15">
      <c r="A2225" t="s">
        <v>2200</v>
      </c>
      <c r="B2225" t="str">
        <f>HYPERLINK("し/しゅ　腫脹　1807　続名家灸選　平井庸信_ページ_2.jpg")</f>
        <v>し/しゅ　腫脹　1807　続名家灸選　平井庸信_ページ_2.jpg</v>
      </c>
    </row>
    <row r="2226" spans="1:2" x14ac:dyDescent="0.15">
      <c r="A2226" t="s">
        <v>2201</v>
      </c>
      <c r="B2226" t="str">
        <f>HYPERLINK("し/しゅ　諸腫物　成書年未詳　灸穴集　著者未詳.jpg")</f>
        <v>し/しゅ　諸腫物　成書年未詳　灸穴集　著者未詳.jpg</v>
      </c>
    </row>
    <row r="2227" spans="1:2" x14ac:dyDescent="0.15">
      <c r="A2227" t="s">
        <v>2202</v>
      </c>
      <c r="B2227" t="str">
        <f>HYPERLINK("し/しゅ　酒さ鼻　1767　鍼灸則　菅沼周桂.jpg")</f>
        <v>し/しゅ　酒さ鼻　1767　鍼灸則　菅沼周桂.jpg</v>
      </c>
    </row>
    <row r="2228" spans="1:2" x14ac:dyDescent="0.15">
      <c r="A2228" t="s">
        <v>2203</v>
      </c>
      <c r="B2228" t="str">
        <f>HYPERLINK("し/しゅ　酒さ鼻（しゅさび）　にきみはな、又、ざくろはな　さ鼻（さび）　1887（明治20）　鍼灸備要　青山道醇_ページ_1.jpg")</f>
        <v>し/しゅ　酒さ鼻（しゅさび）　にきみはな、又、ざくろはな　さ鼻（さび）　1887（明治20）　鍼灸備要　青山道醇_ページ_1.jpg</v>
      </c>
    </row>
    <row r="2229" spans="1:2" x14ac:dyDescent="0.15">
      <c r="A2229" t="s">
        <v>2204</v>
      </c>
      <c r="B2229" t="str">
        <f>HYPERLINK("し/しゅ　酒さ鼻（しゅさび）　にきみはな、又、ざくろはな　さ鼻（さび）　1887（明治20）　鍼灸備要　青山道醇_ページ_2.jpg")</f>
        <v>し/しゅ　酒さ鼻（しゅさび）　にきみはな、又、ざくろはな　さ鼻（さび）　1887（明治20）　鍼灸備要　青山道醇_ページ_2.jpg</v>
      </c>
    </row>
    <row r="2230" spans="1:2" x14ac:dyDescent="0.15">
      <c r="A2230" t="s">
        <v>2205</v>
      </c>
      <c r="B2230" t="str">
        <f>HYPERLINK("し/しゅく　宿食　1679　鍼法奇貨　渡辺東伯_ページ_1.jpg")</f>
        <v>し/しゅく　宿食　1679　鍼法奇貨　渡辺東伯_ページ_1.jpg</v>
      </c>
    </row>
    <row r="2231" spans="1:2" x14ac:dyDescent="0.15">
      <c r="A2231" t="s">
        <v>2206</v>
      </c>
      <c r="B2231" t="str">
        <f>HYPERLINK("し/しゅく　宿食　1679　鍼法奇貨　渡辺東伯_ページ_2.jpg")</f>
        <v>し/しゅく　宿食　1679　鍼法奇貨　渡辺東伯_ページ_2.jpg</v>
      </c>
    </row>
    <row r="2232" spans="1:2" x14ac:dyDescent="0.15">
      <c r="A2232" t="s">
        <v>2207</v>
      </c>
      <c r="B2232" t="str">
        <f>HYPERLINK("し/しゅく　宿食　1679　鍼法奇貨　渡辺東伯_ページ_3.jpg")</f>
        <v>し/しゅく　宿食　1679　鍼法奇貨　渡辺東伯_ページ_3.jpg</v>
      </c>
    </row>
    <row r="2233" spans="1:2" x14ac:dyDescent="0.15">
      <c r="A2233" t="s">
        <v>2208</v>
      </c>
      <c r="B2233" t="str">
        <f>HYPERLINK("し/しゅく　宿食　1679　鍼法奇貨　渡辺東伯_ページ_4.jpg")</f>
        <v>し/しゅく　宿食　1679　鍼法奇貨　渡辺東伯_ページ_4.jpg</v>
      </c>
    </row>
    <row r="2234" spans="1:2" x14ac:dyDescent="0.15">
      <c r="A2234" t="s">
        <v>2209</v>
      </c>
      <c r="B2234" t="str">
        <f>HYPERLINK("し/しゅく　宿食　1679　鍼法奇貨　渡辺東伯_ページ_5.jpg")</f>
        <v>し/しゅく　宿食　1679　鍼法奇貨　渡辺東伯_ページ_5.jpg</v>
      </c>
    </row>
    <row r="2235" spans="1:2" x14ac:dyDescent="0.15">
      <c r="A2235" t="s">
        <v>2210</v>
      </c>
      <c r="B2235" t="str">
        <f>HYPERLINK("し/しゅく　宿食　1680　鍼灸抜萃　著者未詳.jpg")</f>
        <v>し/しゅく　宿食　1680　鍼灸抜萃　著者未詳.jpg</v>
      </c>
    </row>
    <row r="2236" spans="1:2" x14ac:dyDescent="0.15">
      <c r="A2236" t="s">
        <v>2211</v>
      </c>
      <c r="B2236" t="str">
        <f>HYPERLINK("し/しゅく　宿食　1696　広益鍼灸抜萃　著者未詳.jpg")</f>
        <v>し/しゅく　宿食　1696　広益鍼灸抜萃　著者未詳.jpg</v>
      </c>
    </row>
    <row r="2237" spans="1:2" x14ac:dyDescent="0.15">
      <c r="A2237" t="s">
        <v>2212</v>
      </c>
      <c r="B2237" t="str">
        <f>HYPERLINK("し/しゅく　宿食　1785　鍼書　本城義軒.jpg")</f>
        <v>し/しゅく　宿食　1785　鍼書　本城義軒.jpg</v>
      </c>
    </row>
    <row r="2238" spans="1:2" x14ac:dyDescent="0.15">
      <c r="A2238" t="s">
        <v>2213</v>
      </c>
      <c r="B2238" t="str">
        <f>HYPERLINK("し/しゅく　宿食　1794　杉山流鍼術　島浦和田一_ページ_1.jpg")</f>
        <v>し/しゅく　宿食　1794　杉山流鍼術　島浦和田一_ページ_1.jpg</v>
      </c>
    </row>
    <row r="2239" spans="1:2" x14ac:dyDescent="0.15">
      <c r="A2239" t="s">
        <v>2214</v>
      </c>
      <c r="B2239" t="str">
        <f>HYPERLINK("し/しゅく　宿食　1794　杉山流鍼術　島浦和田一_ページ_2.jpg")</f>
        <v>し/しゅく　宿食　1794　杉山流鍼術　島浦和田一_ページ_2.jpg</v>
      </c>
    </row>
    <row r="2240" spans="1:2" x14ac:dyDescent="0.15">
      <c r="A2240" t="s">
        <v>2215</v>
      </c>
      <c r="B2240" t="str">
        <f>HYPERLINK("し/しゅん　睫毛倒生　さかまつげ　1765　鍼法弁惑　藤井秀孟.jpg")</f>
        <v>し/しゅん　睫毛倒生　さかまつげ　1765　鍼法弁惑　藤井秀孟.jpg</v>
      </c>
    </row>
    <row r="2241" spans="1:2" x14ac:dyDescent="0.15">
      <c r="A2241" t="s">
        <v>2216</v>
      </c>
      <c r="B2241" t="str">
        <f>HYPERLINK("し/しょ　初生雑病　1773　鍼灸手引草　大簡室主人_ページ_1.jpg")</f>
        <v>し/しょ　初生雑病　1773　鍼灸手引草　大簡室主人_ページ_1.jpg</v>
      </c>
    </row>
    <row r="2242" spans="1:2" x14ac:dyDescent="0.15">
      <c r="A2242" t="s">
        <v>2217</v>
      </c>
      <c r="B2242" t="str">
        <f>HYPERLINK("し/しょ　初生雑病　1773　鍼灸手引草　大簡室主人_ページ_2.jpg")</f>
        <v>し/しょ　初生雑病　1773　鍼灸手引草　大簡室主人_ページ_2.jpg</v>
      </c>
    </row>
    <row r="2243" spans="1:2" x14ac:dyDescent="0.15">
      <c r="A2243" t="s">
        <v>2218</v>
      </c>
      <c r="B2243" t="str">
        <f>HYPERLINK("し/しょ　初生雑病　はじめてうまるる　1718　鍼灸重宝記　本郷正豊.jpg")</f>
        <v>し/しょ　初生雑病　はじめてうまるる　1718　鍼灸重宝記　本郷正豊.jpg</v>
      </c>
    </row>
    <row r="2244" spans="1:2" x14ac:dyDescent="0.15">
      <c r="A2244" t="s">
        <v>2219</v>
      </c>
      <c r="B2244" t="str">
        <f>HYPERLINK("し/しょ　初生雑病（小児之部）　1792　鍼法要集　源長起_ページ_1.jpg")</f>
        <v>し/しょ　初生雑病（小児之部）　1792　鍼法要集　源長起_ページ_1.jpg</v>
      </c>
    </row>
    <row r="2245" spans="1:2" x14ac:dyDescent="0.15">
      <c r="A2245" t="s">
        <v>2220</v>
      </c>
      <c r="B2245" t="str">
        <f>HYPERLINK("し/しょ　初生雑病（小児之部）　1792　鍼法要集　源長起_ページ_2.jpg")</f>
        <v>し/しょ　初生雑病（小児之部）　1792　鍼法要集　源長起_ページ_2.jpg</v>
      </c>
    </row>
    <row r="2246" spans="1:2" x14ac:dyDescent="0.15">
      <c r="A2246" t="s">
        <v>2221</v>
      </c>
      <c r="B2246" t="str">
        <f>HYPERLINK("し/しょ　初生雑病（小児之部）　1792　鍼法要集　源長起_ページ_3.jpg")</f>
        <v>し/しょ　初生雑病（小児之部）　1792　鍼法要集　源長起_ページ_3.jpg</v>
      </c>
    </row>
    <row r="2247" spans="1:2" x14ac:dyDescent="0.15">
      <c r="A2247" t="s">
        <v>2222</v>
      </c>
      <c r="B2247" t="str">
        <f>HYPERLINK("し/しょ　初生雑病（小児之部）　1792　鍼法要集　源長起_ページ_4.jpg")</f>
        <v>し/しょ　初生雑病（小児之部）　1792　鍼法要集　源長起_ページ_4.jpg</v>
      </c>
    </row>
    <row r="2248" spans="1:2" x14ac:dyDescent="0.15">
      <c r="A2248" t="s">
        <v>2223</v>
      </c>
      <c r="B2248" t="str">
        <f>HYPERLINK("し/しょ　初生雑病（小児之部）　1792　鍼法要集　源長起_ページ_5.jpg")</f>
        <v>し/しょ　初生雑病（小児之部）　1792　鍼法要集　源長起_ページ_5.jpg</v>
      </c>
    </row>
    <row r="2249" spans="1:2" x14ac:dyDescent="0.15">
      <c r="A2249" t="s">
        <v>2224</v>
      </c>
      <c r="B2249" t="str">
        <f>HYPERLINK("し/しょ　暑気(あつけ)　1607　扁鵲新流鍼書　越齋寿閑_ページ_1.jpg")</f>
        <v>し/しょ　暑気(あつけ)　1607　扁鵲新流鍼書　越齋寿閑_ページ_1.jpg</v>
      </c>
    </row>
    <row r="2250" spans="1:2" x14ac:dyDescent="0.15">
      <c r="A2250" t="s">
        <v>2225</v>
      </c>
      <c r="B2250" t="str">
        <f>HYPERLINK("し/しょ　暑気(あつけ)　1607　扁鵲新流鍼書　越齋寿閑_ページ_2.jpg")</f>
        <v>し/しょ　暑気(あつけ)　1607　扁鵲新流鍼書　越齋寿閑_ページ_2.jpg</v>
      </c>
    </row>
    <row r="2251" spans="1:2" x14ac:dyDescent="0.15">
      <c r="A2251" t="s">
        <v>2226</v>
      </c>
      <c r="B2251" t="str">
        <f>HYPERLINK("し/しょ　諸病、吐を取らんとするときは刺すべき事　諸病、吐かせたくおもう時　1780　鍼灸極秘伝　木村太沖.jpg")</f>
        <v>し/しょ　諸病、吐を取らんとするときは刺すべき事　諸病、吐かせたくおもう時　1780　鍼灸極秘伝　木村太沖.jpg</v>
      </c>
    </row>
    <row r="2252" spans="1:2" x14ac:dyDescent="0.15">
      <c r="A2252" t="s">
        <v>2227</v>
      </c>
      <c r="B2252" t="str">
        <f>HYPERLINK("し/しょ　諸発等証　1226　備急灸法　宋・聞人耆年_ページ_1.jpg")</f>
        <v>し/しょ　諸発等証　1226　備急灸法　宋・聞人耆年_ページ_1.jpg</v>
      </c>
    </row>
    <row r="2253" spans="1:2" x14ac:dyDescent="0.15">
      <c r="A2253" t="s">
        <v>2228</v>
      </c>
      <c r="B2253" t="str">
        <f>HYPERLINK("し/しょ　諸発等証　1226　備急灸法　宋・聞人耆年_ページ_2.jpg")</f>
        <v>し/しょ　諸発等証　1226　備急灸法　宋・聞人耆年_ページ_2.jpg</v>
      </c>
    </row>
    <row r="2254" spans="1:2" x14ac:dyDescent="0.15">
      <c r="A2254" t="s">
        <v>2229</v>
      </c>
      <c r="B2254" t="str">
        <f>HYPERLINK("し/しょう-02　類傷寒　1669　鍼灸枢要　山本玄通_ページ_1.jpg")</f>
        <v>し/しょう-02　類傷寒　1669　鍼灸枢要　山本玄通_ページ_1.jpg</v>
      </c>
    </row>
    <row r="2255" spans="1:2" x14ac:dyDescent="0.15">
      <c r="A2255" t="s">
        <v>2230</v>
      </c>
      <c r="B2255" t="str">
        <f>HYPERLINK("し/しょう-02　類傷寒　1669　鍼灸枢要　山本玄通_ページ_2.jpg")</f>
        <v>し/しょう-02　類傷寒　1669　鍼灸枢要　山本玄通_ページ_2.jpg</v>
      </c>
    </row>
    <row r="2256" spans="1:2" x14ac:dyDescent="0.15">
      <c r="A2256" t="s">
        <v>2231</v>
      </c>
      <c r="B2256" t="str">
        <f>HYPERLINK("し/しょう　傷寒　1220　鍼灸資生経　王執中_ページ_1.jpg")</f>
        <v>し/しょう　傷寒　1220　鍼灸資生経　王執中_ページ_1.jpg</v>
      </c>
    </row>
    <row r="2257" spans="1:2" x14ac:dyDescent="0.15">
      <c r="A2257" t="s">
        <v>2232</v>
      </c>
      <c r="B2257" t="str">
        <f>HYPERLINK("し/しょう　傷寒　1220　鍼灸資生経　王執中_ページ_2.jpg")</f>
        <v>し/しょう　傷寒　1220　鍼灸資生経　王執中_ページ_2.jpg</v>
      </c>
    </row>
    <row r="2258" spans="1:2" x14ac:dyDescent="0.15">
      <c r="A2258" t="s">
        <v>2233</v>
      </c>
      <c r="B2258" t="str">
        <f>HYPERLINK("し/しょう　傷寒　1220　鍼灸資生経　王執中_ページ_3.jpg")</f>
        <v>し/しょう　傷寒　1220　鍼灸資生経　王執中_ページ_3.jpg</v>
      </c>
    </row>
    <row r="2259" spans="1:2" x14ac:dyDescent="0.15">
      <c r="A2259" t="s">
        <v>2234</v>
      </c>
      <c r="B2259" t="str">
        <f>HYPERLINK("し/しょう　傷寒　1220　鍼灸資生経　王執中_ページ_4.jpg")</f>
        <v>し/しょう　傷寒　1220　鍼灸資生経　王執中_ページ_4.jpg</v>
      </c>
    </row>
    <row r="2260" spans="1:2" x14ac:dyDescent="0.15">
      <c r="A2260" t="s">
        <v>2235</v>
      </c>
      <c r="B2260" t="str">
        <f>HYPERLINK("し/しょう　傷寒　1329　扁鵲神応鍼灸玉龍経　元・王国瑞_ページ_1.jpg")</f>
        <v>し/しょう　傷寒　1329　扁鵲神応鍼灸玉龍経　元・王国瑞_ページ_1.jpg</v>
      </c>
    </row>
    <row r="2261" spans="1:2" x14ac:dyDescent="0.15">
      <c r="A2261" t="s">
        <v>2236</v>
      </c>
      <c r="B2261" t="str">
        <f>HYPERLINK("し/しょう　傷寒　1329　扁鵲神応鍼灸玉龍経　元・王国瑞_ページ_2.jpg")</f>
        <v>し/しょう　傷寒　1329　扁鵲神応鍼灸玉龍経　元・王国瑞_ページ_2.jpg</v>
      </c>
    </row>
    <row r="2262" spans="1:2" x14ac:dyDescent="0.15">
      <c r="A2262" t="s">
        <v>2237</v>
      </c>
      <c r="B2262" t="str">
        <f>HYPERLINK("し/しょう　傷寒　1425　神応経　明・陳会撰・劉瑾重校.jpg")</f>
        <v>し/しょう　傷寒　1425　神応経　明・陳会撰・劉瑾重校.jpg</v>
      </c>
    </row>
    <row r="2263" spans="1:2" x14ac:dyDescent="0.15">
      <c r="A2263" t="s">
        <v>2238</v>
      </c>
      <c r="B2263" t="str">
        <f>HYPERLINK("し/しょう　傷寒　1607　扁鵲新流鍼書　越齋寿閑.jpg")</f>
        <v>し/しょう　傷寒　1607　扁鵲新流鍼書　越齋寿閑.jpg</v>
      </c>
    </row>
    <row r="2264" spans="1:2" x14ac:dyDescent="0.15">
      <c r="A2264" t="s">
        <v>2239</v>
      </c>
      <c r="B2264" t="str">
        <f>HYPERLINK("し/しょう　傷寒　1624　類経図翼　明・張介賓_ページ_1.jpg")</f>
        <v>し/しょう　傷寒　1624　類経図翼　明・張介賓_ページ_1.jpg</v>
      </c>
    </row>
    <row r="2265" spans="1:2" x14ac:dyDescent="0.15">
      <c r="A2265" t="s">
        <v>2240</v>
      </c>
      <c r="B2265" t="str">
        <f>HYPERLINK("し/しょう　傷寒　1624　類経図翼　明・張介賓_ページ_2.jpg")</f>
        <v>し/しょう　傷寒　1624　類経図翼　明・張介賓_ページ_2.jpg</v>
      </c>
    </row>
    <row r="2266" spans="1:2" x14ac:dyDescent="0.15">
      <c r="A2266" t="s">
        <v>2241</v>
      </c>
      <c r="B2266" t="str">
        <f>HYPERLINK("し/しょう　傷寒　1624　類経図翼　明・張介賓_ページ_3.jpg")</f>
        <v>し/しょう　傷寒　1624　類経図翼　明・張介賓_ページ_3.jpg</v>
      </c>
    </row>
    <row r="2267" spans="1:2" x14ac:dyDescent="0.15">
      <c r="A2267" t="s">
        <v>2242</v>
      </c>
      <c r="B2267" t="str">
        <f>HYPERLINK("し/しょう　傷寒　1624　類経図翼　明・張介賓_ページ_4.jpg")</f>
        <v>し/しょう　傷寒　1624　類経図翼　明・張介賓_ページ_4.jpg</v>
      </c>
    </row>
    <row r="2268" spans="1:2" x14ac:dyDescent="0.15">
      <c r="A2268" t="s">
        <v>2243</v>
      </c>
      <c r="B2268" t="str">
        <f>HYPERLINK("し/しょう　傷寒　1669　鍼灸枢要　山本玄通_ページ_01.jpg")</f>
        <v>し/しょう　傷寒　1669　鍼灸枢要　山本玄通_ページ_01.jpg</v>
      </c>
    </row>
    <row r="2269" spans="1:2" x14ac:dyDescent="0.15">
      <c r="A2269" t="s">
        <v>2244</v>
      </c>
      <c r="B2269" t="str">
        <f>HYPERLINK("し/しょう　傷寒　1669　鍼灸枢要　山本玄通_ページ_02.jpg")</f>
        <v>し/しょう　傷寒　1669　鍼灸枢要　山本玄通_ページ_02.jpg</v>
      </c>
    </row>
    <row r="2270" spans="1:2" x14ac:dyDescent="0.15">
      <c r="A2270" t="s">
        <v>2245</v>
      </c>
      <c r="B2270" t="str">
        <f>HYPERLINK("し/しょう　傷寒　1669　鍼灸枢要　山本玄通_ページ_03.jpg")</f>
        <v>し/しょう　傷寒　1669　鍼灸枢要　山本玄通_ページ_03.jpg</v>
      </c>
    </row>
    <row r="2271" spans="1:2" x14ac:dyDescent="0.15">
      <c r="A2271" t="s">
        <v>2246</v>
      </c>
      <c r="B2271" t="str">
        <f>HYPERLINK("し/しょう　傷寒　1669　鍼灸枢要　山本玄通_ページ_04.jpg")</f>
        <v>し/しょう　傷寒　1669　鍼灸枢要　山本玄通_ページ_04.jpg</v>
      </c>
    </row>
    <row r="2272" spans="1:2" x14ac:dyDescent="0.15">
      <c r="A2272" t="s">
        <v>2247</v>
      </c>
      <c r="B2272" t="str">
        <f>HYPERLINK("し/しょう　傷寒　1669　鍼灸枢要　山本玄通_ページ_05.jpg")</f>
        <v>し/しょう　傷寒　1669　鍼灸枢要　山本玄通_ページ_05.jpg</v>
      </c>
    </row>
    <row r="2273" spans="1:2" x14ac:dyDescent="0.15">
      <c r="A2273" t="s">
        <v>2248</v>
      </c>
      <c r="B2273" t="str">
        <f>HYPERLINK("し/しょう　傷寒　1669　鍼灸枢要　山本玄通_ページ_06.jpg")</f>
        <v>し/しょう　傷寒　1669　鍼灸枢要　山本玄通_ページ_06.jpg</v>
      </c>
    </row>
    <row r="2274" spans="1:2" x14ac:dyDescent="0.15">
      <c r="A2274" t="s">
        <v>2249</v>
      </c>
      <c r="B2274" t="str">
        <f>HYPERLINK("し/しょう　傷寒　1669　鍼灸枢要　山本玄通_ページ_07.jpg")</f>
        <v>し/しょう　傷寒　1669　鍼灸枢要　山本玄通_ページ_07.jpg</v>
      </c>
    </row>
    <row r="2275" spans="1:2" x14ac:dyDescent="0.15">
      <c r="A2275" t="s">
        <v>2250</v>
      </c>
      <c r="B2275" t="str">
        <f>HYPERLINK("し/しょう　傷寒　1669　鍼灸枢要　山本玄通_ページ_08.jpg")</f>
        <v>し/しょう　傷寒　1669　鍼灸枢要　山本玄通_ページ_08.jpg</v>
      </c>
    </row>
    <row r="2276" spans="1:2" x14ac:dyDescent="0.15">
      <c r="A2276" t="s">
        <v>2251</v>
      </c>
      <c r="B2276" t="str">
        <f>HYPERLINK("し/しょう　傷寒　1669　鍼灸枢要　山本玄通_ページ_09.jpg")</f>
        <v>し/しょう　傷寒　1669　鍼灸枢要　山本玄通_ページ_09.jpg</v>
      </c>
    </row>
    <row r="2277" spans="1:2" x14ac:dyDescent="0.15">
      <c r="A2277" t="s">
        <v>2252</v>
      </c>
      <c r="B2277" t="str">
        <f>HYPERLINK("し/しょう　傷寒　1669　鍼灸枢要　山本玄通_ページ_10.jpg")</f>
        <v>し/しょう　傷寒　1669　鍼灸枢要　山本玄通_ページ_10.jpg</v>
      </c>
    </row>
    <row r="2278" spans="1:2" x14ac:dyDescent="0.15">
      <c r="A2278" t="s">
        <v>2253</v>
      </c>
      <c r="B2278" t="str">
        <f>HYPERLINK("し/しょう　傷寒　1669　鍼灸枢要　山本玄通_ページ_11.jpg")</f>
        <v>し/しょう　傷寒　1669　鍼灸枢要　山本玄通_ページ_11.jpg</v>
      </c>
    </row>
    <row r="2279" spans="1:2" x14ac:dyDescent="0.15">
      <c r="A2279" t="s">
        <v>2254</v>
      </c>
      <c r="B2279" t="str">
        <f>HYPERLINK("し/しょう　傷寒　1669　鍼灸枢要　山本玄通_ページ_12.jpg")</f>
        <v>し/しょう　傷寒　1669　鍼灸枢要　山本玄通_ページ_12.jpg</v>
      </c>
    </row>
    <row r="2280" spans="1:2" x14ac:dyDescent="0.15">
      <c r="A2280" t="s">
        <v>2255</v>
      </c>
      <c r="B2280" t="str">
        <f>HYPERLINK("し/しょう　傷寒　1669　鍼灸枢要　山本玄通_ページ_13.jpg")</f>
        <v>し/しょう　傷寒　1669　鍼灸枢要　山本玄通_ページ_13.jpg</v>
      </c>
    </row>
    <row r="2281" spans="1:2" x14ac:dyDescent="0.15">
      <c r="A2281" t="s">
        <v>2256</v>
      </c>
      <c r="B2281" t="str">
        <f>HYPERLINK("し/しょう　傷寒　1669　鍼灸枢要　山本玄通_ページ_14.jpg")</f>
        <v>し/しょう　傷寒　1669　鍼灸枢要　山本玄通_ページ_14.jpg</v>
      </c>
    </row>
    <row r="2282" spans="1:2" x14ac:dyDescent="0.15">
      <c r="A2282" t="s">
        <v>2257</v>
      </c>
      <c r="B2282" t="str">
        <f>HYPERLINK("し/しょう　傷寒　1669　鍼灸枢要　山本玄通_ページ_15.jpg")</f>
        <v>し/しょう　傷寒　1669　鍼灸枢要　山本玄通_ページ_15.jpg</v>
      </c>
    </row>
    <row r="2283" spans="1:2" x14ac:dyDescent="0.15">
      <c r="A2283" t="s">
        <v>2258</v>
      </c>
      <c r="B2283" t="str">
        <f>HYPERLINK("し/しょう　傷寒　1679　鍼法奇貨　渡辺東伯_ページ_01.jpg")</f>
        <v>し/しょう　傷寒　1679　鍼法奇貨　渡辺東伯_ページ_01.jpg</v>
      </c>
    </row>
    <row r="2284" spans="1:2" x14ac:dyDescent="0.15">
      <c r="A2284" t="s">
        <v>2259</v>
      </c>
      <c r="B2284" t="str">
        <f>HYPERLINK("し/しょう　傷寒　1679　鍼法奇貨　渡辺東伯_ページ_02.jpg")</f>
        <v>し/しょう　傷寒　1679　鍼法奇貨　渡辺東伯_ページ_02.jpg</v>
      </c>
    </row>
    <row r="2285" spans="1:2" x14ac:dyDescent="0.15">
      <c r="A2285" t="s">
        <v>2260</v>
      </c>
      <c r="B2285" t="str">
        <f>HYPERLINK("し/しょう　傷寒　1679　鍼法奇貨　渡辺東伯_ページ_03.jpg")</f>
        <v>し/しょう　傷寒　1679　鍼法奇貨　渡辺東伯_ページ_03.jpg</v>
      </c>
    </row>
    <row r="2286" spans="1:2" x14ac:dyDescent="0.15">
      <c r="A2286" t="s">
        <v>2261</v>
      </c>
      <c r="B2286" t="str">
        <f>HYPERLINK("し/しょう　傷寒　1679　鍼法奇貨　渡辺東伯_ページ_04.jpg")</f>
        <v>し/しょう　傷寒　1679　鍼法奇貨　渡辺東伯_ページ_04.jpg</v>
      </c>
    </row>
    <row r="2287" spans="1:2" x14ac:dyDescent="0.15">
      <c r="A2287" t="s">
        <v>2262</v>
      </c>
      <c r="B2287" t="str">
        <f>HYPERLINK("し/しょう　傷寒　1679　鍼法奇貨　渡辺東伯_ページ_05.jpg")</f>
        <v>し/しょう　傷寒　1679　鍼法奇貨　渡辺東伯_ページ_05.jpg</v>
      </c>
    </row>
    <row r="2288" spans="1:2" x14ac:dyDescent="0.15">
      <c r="A2288" t="s">
        <v>2263</v>
      </c>
      <c r="B2288" t="str">
        <f>HYPERLINK("し/しょう　傷寒　1679　鍼法奇貨　渡辺東伯_ページ_06.jpg")</f>
        <v>し/しょう　傷寒　1679　鍼法奇貨　渡辺東伯_ページ_06.jpg</v>
      </c>
    </row>
    <row r="2289" spans="1:2" x14ac:dyDescent="0.15">
      <c r="A2289" t="s">
        <v>2264</v>
      </c>
      <c r="B2289" t="str">
        <f>HYPERLINK("し/しょう　傷寒　1679　鍼法奇貨　渡辺東伯_ページ_07.jpg")</f>
        <v>し/しょう　傷寒　1679　鍼法奇貨　渡辺東伯_ページ_07.jpg</v>
      </c>
    </row>
    <row r="2290" spans="1:2" x14ac:dyDescent="0.15">
      <c r="A2290" t="s">
        <v>2265</v>
      </c>
      <c r="B2290" t="str">
        <f>HYPERLINK("し/しょう　傷寒　1679　鍼法奇貨　渡辺東伯_ページ_08.jpg")</f>
        <v>し/しょう　傷寒　1679　鍼法奇貨　渡辺東伯_ページ_08.jpg</v>
      </c>
    </row>
    <row r="2291" spans="1:2" x14ac:dyDescent="0.15">
      <c r="A2291" t="s">
        <v>2266</v>
      </c>
      <c r="B2291" t="str">
        <f>HYPERLINK("し/しょう　傷寒　1679　鍼法奇貨　渡辺東伯_ページ_09.jpg")</f>
        <v>し/しょう　傷寒　1679　鍼法奇貨　渡辺東伯_ページ_09.jpg</v>
      </c>
    </row>
    <row r="2292" spans="1:2" x14ac:dyDescent="0.15">
      <c r="A2292" t="s">
        <v>2267</v>
      </c>
      <c r="B2292" t="str">
        <f>HYPERLINK("し/しょう　傷寒　1679　鍼法奇貨　渡辺東伯_ページ_10.jpg")</f>
        <v>し/しょう　傷寒　1679　鍼法奇貨　渡辺東伯_ページ_10.jpg</v>
      </c>
    </row>
    <row r="2293" spans="1:2" x14ac:dyDescent="0.15">
      <c r="A2293" t="s">
        <v>2268</v>
      </c>
      <c r="B2293" t="str">
        <f>HYPERLINK("し/しょう　傷寒　1679　鍼法奇貨　渡辺東伯_ページ_11.jpg")</f>
        <v>し/しょう　傷寒　1679　鍼法奇貨　渡辺東伯_ページ_11.jpg</v>
      </c>
    </row>
    <row r="2294" spans="1:2" x14ac:dyDescent="0.15">
      <c r="A2294" t="s">
        <v>2269</v>
      </c>
      <c r="B2294" t="str">
        <f>HYPERLINK("し/しょう　傷寒　1679　鍼法奇貨　渡辺東伯_ページ_12.jpg")</f>
        <v>し/しょう　傷寒　1679　鍼法奇貨　渡辺東伯_ページ_12.jpg</v>
      </c>
    </row>
    <row r="2295" spans="1:2" x14ac:dyDescent="0.15">
      <c r="A2295" t="s">
        <v>2270</v>
      </c>
      <c r="B2295" t="str">
        <f>HYPERLINK("し/しょう　傷寒　1680　鍼灸抜萃　著者未詳.jpg")</f>
        <v>し/しょう　傷寒　1680　鍼灸抜萃　著者未詳.jpg</v>
      </c>
    </row>
    <row r="2296" spans="1:2" x14ac:dyDescent="0.15">
      <c r="A2296" t="s">
        <v>2271</v>
      </c>
      <c r="B2296" t="str">
        <f>HYPERLINK("し/しょう　傷寒　1693　鍼灸要歌集　安井昌玄_ページ_1.jpg")</f>
        <v>し/しょう　傷寒　1693　鍼灸要歌集　安井昌玄_ページ_1.jpg</v>
      </c>
    </row>
    <row r="2297" spans="1:2" x14ac:dyDescent="0.15">
      <c r="A2297" t="s">
        <v>2272</v>
      </c>
      <c r="B2297" t="str">
        <f>HYPERLINK("し/しょう　傷寒　1693　鍼灸要歌集　安井昌玄_ページ_2.jpg")</f>
        <v>し/しょう　傷寒　1693　鍼灸要歌集　安井昌玄_ページ_2.jpg</v>
      </c>
    </row>
    <row r="2298" spans="1:2" x14ac:dyDescent="0.15">
      <c r="A2298" t="s">
        <v>2273</v>
      </c>
      <c r="B2298" t="str">
        <f>HYPERLINK("し/しょう　傷寒　1693　鍼灸要歌集　安井昌玄_ページ_3.jpg")</f>
        <v>し/しょう　傷寒　1693　鍼灸要歌集　安井昌玄_ページ_3.jpg</v>
      </c>
    </row>
    <row r="2299" spans="1:2" x14ac:dyDescent="0.15">
      <c r="A2299" t="s">
        <v>2274</v>
      </c>
      <c r="B2299" t="str">
        <f>HYPERLINK("し/しょう　傷寒　1693　鍼灸要歌集　安井昌玄_ページ_4.jpg")</f>
        <v>し/しょう　傷寒　1693　鍼灸要歌集　安井昌玄_ページ_4.jpg</v>
      </c>
    </row>
    <row r="2300" spans="1:2" x14ac:dyDescent="0.15">
      <c r="A2300" t="s">
        <v>2275</v>
      </c>
      <c r="B2300" t="str">
        <f>HYPERLINK("し/しょう　傷寒　1693　鍼灸要歌集　安井昌玄_ページ_5.jpg")</f>
        <v>し/しょう　傷寒　1693　鍼灸要歌集　安井昌玄_ページ_5.jpg</v>
      </c>
    </row>
    <row r="2301" spans="1:2" x14ac:dyDescent="0.15">
      <c r="A2301" t="s">
        <v>2276</v>
      </c>
      <c r="B2301" t="str">
        <f>HYPERLINK("し/しょう　傷寒　1694　療治之大概集　杉山和一.jpg")</f>
        <v>し/しょう　傷寒　1694　療治之大概集　杉山和一.jpg</v>
      </c>
    </row>
    <row r="2302" spans="1:2" x14ac:dyDescent="0.15">
      <c r="A2302" t="s">
        <v>2277</v>
      </c>
      <c r="B2302" t="str">
        <f>HYPERLINK("し/しょう　傷寒　1694　鍼灸そかい集　高津敬節_ページ_1.jpg")</f>
        <v>し/しょう　傷寒　1694　鍼灸そかい集　高津敬節_ページ_1.jpg</v>
      </c>
    </row>
    <row r="2303" spans="1:2" x14ac:dyDescent="0.15">
      <c r="A2303" t="s">
        <v>2278</v>
      </c>
      <c r="B2303" t="str">
        <f>HYPERLINK("し/しょう　傷寒　1694　鍼灸そかい集　高津敬節_ページ_2.jpg")</f>
        <v>し/しょう　傷寒　1694　鍼灸そかい集　高津敬節_ページ_2.jpg</v>
      </c>
    </row>
    <row r="2304" spans="1:2" x14ac:dyDescent="0.15">
      <c r="A2304" t="s">
        <v>2279</v>
      </c>
      <c r="B2304" t="str">
        <f>HYPERLINK("し/しょう　傷寒　1696　広益鍼灸抜萃　著者未詳_ページ_1.jpg")</f>
        <v>し/しょう　傷寒　1696　広益鍼灸抜萃　著者未詳_ページ_1.jpg</v>
      </c>
    </row>
    <row r="2305" spans="1:2" x14ac:dyDescent="0.15">
      <c r="A2305" t="s">
        <v>2280</v>
      </c>
      <c r="B2305" t="str">
        <f>HYPERLINK("し/しょう　傷寒　1696　広益鍼灸抜萃　著者未詳_ページ_2.jpg")</f>
        <v>し/しょう　傷寒　1696　広益鍼灸抜萃　著者未詳_ページ_2.jpg</v>
      </c>
    </row>
    <row r="2306" spans="1:2" x14ac:dyDescent="0.15">
      <c r="A2306" t="s">
        <v>2281</v>
      </c>
      <c r="B2306" t="str">
        <f>HYPERLINK("し/しょう　傷寒　1696　広益鍼灸抜萃　著者未詳_ページ_3.jpg")</f>
        <v>し/しょう　傷寒　1696　広益鍼灸抜萃　著者未詳_ページ_3.jpg</v>
      </c>
    </row>
    <row r="2307" spans="1:2" x14ac:dyDescent="0.15">
      <c r="A2307" t="s">
        <v>2282</v>
      </c>
      <c r="B2307" t="str">
        <f>HYPERLINK("し/しょう　傷寒　1698　鍼灸抜粋大成　岡本一抱_ページ_1.jpg")</f>
        <v>し/しょう　傷寒　1698　鍼灸抜粋大成　岡本一抱_ページ_1.jpg</v>
      </c>
    </row>
    <row r="2308" spans="1:2" x14ac:dyDescent="0.15">
      <c r="A2308" t="s">
        <v>2283</v>
      </c>
      <c r="B2308" t="str">
        <f>HYPERLINK("し/しょう　傷寒　1698　鍼灸抜粋大成　岡本一抱_ページ_2.jpg")</f>
        <v>し/しょう　傷寒　1698　鍼灸抜粋大成　岡本一抱_ページ_2.jpg</v>
      </c>
    </row>
    <row r="2309" spans="1:2" x14ac:dyDescent="0.15">
      <c r="A2309" t="s">
        <v>2284</v>
      </c>
      <c r="B2309" t="str">
        <f>HYPERLINK("し/しょう　傷寒　1765　鍼法弁惑　藤井秀孟_ページ_1.jpg")</f>
        <v>し/しょう　傷寒　1765　鍼法弁惑　藤井秀孟_ページ_1.jpg</v>
      </c>
    </row>
    <row r="2310" spans="1:2" x14ac:dyDescent="0.15">
      <c r="A2310" t="s">
        <v>2285</v>
      </c>
      <c r="B2310" t="str">
        <f>HYPERLINK("し/しょう　傷寒　1765　鍼法弁惑　藤井秀孟_ページ_2.jpg")</f>
        <v>し/しょう　傷寒　1765　鍼法弁惑　藤井秀孟_ページ_2.jpg</v>
      </c>
    </row>
    <row r="2311" spans="1:2" x14ac:dyDescent="0.15">
      <c r="A2311" t="s">
        <v>2286</v>
      </c>
      <c r="B2311" t="str">
        <f>HYPERLINK("し/しょう　傷寒　1765　鍼法弁惑　藤井秀孟_ページ_3.jpg")</f>
        <v>し/しょう　傷寒　1765　鍼法弁惑　藤井秀孟_ページ_3.jpg</v>
      </c>
    </row>
    <row r="2312" spans="1:2" x14ac:dyDescent="0.15">
      <c r="A2312" t="s">
        <v>2287</v>
      </c>
      <c r="B2312" t="str">
        <f>HYPERLINK("し/しょう　傷寒　1765　鍼法弁惑　藤井秀孟_ページ_4.jpg")</f>
        <v>し/しょう　傷寒　1765　鍼法弁惑　藤井秀孟_ページ_4.jpg</v>
      </c>
    </row>
    <row r="2313" spans="1:2" x14ac:dyDescent="0.15">
      <c r="A2313" t="s">
        <v>2288</v>
      </c>
      <c r="B2313" t="str">
        <f>HYPERLINK("し/しょう　傷寒　1765　鍼法弁惑　藤井秀孟_ページ_5.jpg")</f>
        <v>し/しょう　傷寒　1765　鍼法弁惑　藤井秀孟_ページ_5.jpg</v>
      </c>
    </row>
    <row r="2314" spans="1:2" x14ac:dyDescent="0.15">
      <c r="A2314" t="s">
        <v>2289</v>
      </c>
      <c r="B2314" t="str">
        <f>HYPERLINK("し/しょう　傷寒　1767　鍼灸則　菅沼周桂.jpg")</f>
        <v>し/しょう　傷寒　1767　鍼灸則　菅沼周桂.jpg</v>
      </c>
    </row>
    <row r="2315" spans="1:2" x14ac:dyDescent="0.15">
      <c r="A2315" t="s">
        <v>2290</v>
      </c>
      <c r="B2315" t="str">
        <f>HYPERLINK("し/しょう　傷寒　1773　鍼灸手引草　大簡室主人_ページ_1.jpg")</f>
        <v>し/しょう　傷寒　1773　鍼灸手引草　大簡室主人_ページ_1.jpg</v>
      </c>
    </row>
    <row r="2316" spans="1:2" x14ac:dyDescent="0.15">
      <c r="A2316" t="s">
        <v>2291</v>
      </c>
      <c r="B2316" t="str">
        <f>HYPERLINK("し/しょう　傷寒　1773　鍼灸手引草　大簡室主人_ページ_2.jpg")</f>
        <v>し/しょう　傷寒　1773　鍼灸手引草　大簡室主人_ページ_2.jpg</v>
      </c>
    </row>
    <row r="2317" spans="1:2" x14ac:dyDescent="0.15">
      <c r="A2317" t="s">
        <v>2292</v>
      </c>
      <c r="B2317" t="str">
        <f>HYPERLINK("し/しょう　傷寒　1773　鍼灸手引草　大簡室主人_ページ_3.jpg")</f>
        <v>し/しょう　傷寒　1773　鍼灸手引草　大簡室主人_ページ_3.jpg</v>
      </c>
    </row>
    <row r="2318" spans="1:2" x14ac:dyDescent="0.15">
      <c r="A2318" t="s">
        <v>2293</v>
      </c>
      <c r="B2318" t="str">
        <f>HYPERLINK("し/しょう　傷寒　1773　鍼灸手引草　大簡室主人_ページ_4.jpg")</f>
        <v>し/しょう　傷寒　1773　鍼灸手引草　大簡室主人_ページ_4.jpg</v>
      </c>
    </row>
    <row r="2319" spans="1:2" x14ac:dyDescent="0.15">
      <c r="A2319" t="s">
        <v>2294</v>
      </c>
      <c r="B2319" t="str">
        <f>HYPERLINK("し/しょう　傷寒　1773　鍼灸手引草　大簡室主人_ページ_5.jpg")</f>
        <v>し/しょう　傷寒　1773　鍼灸手引草　大簡室主人_ページ_5.jpg</v>
      </c>
    </row>
    <row r="2320" spans="1:2" x14ac:dyDescent="0.15">
      <c r="A2320" t="s">
        <v>2295</v>
      </c>
      <c r="B2320" t="str">
        <f>HYPERLINK("し/しょう　傷寒　1785　鍼書　本城義軒.jpg")</f>
        <v>し/しょう　傷寒　1785　鍼書　本城義軒.jpg</v>
      </c>
    </row>
    <row r="2321" spans="1:2" x14ac:dyDescent="0.15">
      <c r="A2321" t="s">
        <v>2296</v>
      </c>
      <c r="B2321" t="str">
        <f>HYPERLINK("し/しょう　傷寒　1792　鍼法要集　源長起_ページ_01.jpg")</f>
        <v>し/しょう　傷寒　1792　鍼法要集　源長起_ページ_01.jpg</v>
      </c>
    </row>
    <row r="2322" spans="1:2" x14ac:dyDescent="0.15">
      <c r="A2322" t="s">
        <v>2297</v>
      </c>
      <c r="B2322" t="str">
        <f>HYPERLINK("し/しょう　傷寒　1792　鍼法要集　源長起_ページ_02.jpg")</f>
        <v>し/しょう　傷寒　1792　鍼法要集　源長起_ページ_02.jpg</v>
      </c>
    </row>
    <row r="2323" spans="1:2" x14ac:dyDescent="0.15">
      <c r="A2323" t="s">
        <v>2298</v>
      </c>
      <c r="B2323" t="str">
        <f>HYPERLINK("し/しょう　傷寒　1792　鍼法要集　源長起_ページ_03.jpg")</f>
        <v>し/しょう　傷寒　1792　鍼法要集　源長起_ページ_03.jpg</v>
      </c>
    </row>
    <row r="2324" spans="1:2" x14ac:dyDescent="0.15">
      <c r="A2324" t="s">
        <v>2299</v>
      </c>
      <c r="B2324" t="str">
        <f>HYPERLINK("し/しょう　傷寒　1792　鍼法要集　源長起_ページ_04.jpg")</f>
        <v>し/しょう　傷寒　1792　鍼法要集　源長起_ページ_04.jpg</v>
      </c>
    </row>
    <row r="2325" spans="1:2" x14ac:dyDescent="0.15">
      <c r="A2325" t="s">
        <v>2300</v>
      </c>
      <c r="B2325" t="str">
        <f>HYPERLINK("し/しょう　傷寒　1792　鍼法要集　源長起_ページ_05.jpg")</f>
        <v>し/しょう　傷寒　1792　鍼法要集　源長起_ページ_05.jpg</v>
      </c>
    </row>
    <row r="2326" spans="1:2" x14ac:dyDescent="0.15">
      <c r="A2326" t="s">
        <v>2301</v>
      </c>
      <c r="B2326" t="str">
        <f>HYPERLINK("し/しょう　傷寒　1792　鍼法要集　源長起_ページ_06.jpg")</f>
        <v>し/しょう　傷寒　1792　鍼法要集　源長起_ページ_06.jpg</v>
      </c>
    </row>
    <row r="2327" spans="1:2" x14ac:dyDescent="0.15">
      <c r="A2327" t="s">
        <v>2302</v>
      </c>
      <c r="B2327" t="str">
        <f>HYPERLINK("し/しょう　傷寒　1792　鍼法要集　源長起_ページ_07.jpg")</f>
        <v>し/しょう　傷寒　1792　鍼法要集　源長起_ページ_07.jpg</v>
      </c>
    </row>
    <row r="2328" spans="1:2" x14ac:dyDescent="0.15">
      <c r="A2328" t="s">
        <v>2303</v>
      </c>
      <c r="B2328" t="str">
        <f>HYPERLINK("し/しょう　傷寒　1792　鍼法要集　源長起_ページ_08.jpg")</f>
        <v>し/しょう　傷寒　1792　鍼法要集　源長起_ページ_08.jpg</v>
      </c>
    </row>
    <row r="2329" spans="1:2" x14ac:dyDescent="0.15">
      <c r="A2329" t="s">
        <v>2304</v>
      </c>
      <c r="B2329" t="str">
        <f>HYPERLINK("し/しょう　傷寒　1792　鍼法要集　源長起_ページ_09.jpg")</f>
        <v>し/しょう　傷寒　1792　鍼法要集　源長起_ページ_09.jpg</v>
      </c>
    </row>
    <row r="2330" spans="1:2" x14ac:dyDescent="0.15">
      <c r="A2330" t="s">
        <v>2305</v>
      </c>
      <c r="B2330" t="str">
        <f>HYPERLINK("し/しょう　傷寒　1792　鍼法要集　源長起_ページ_10.jpg")</f>
        <v>し/しょう　傷寒　1792　鍼法要集　源長起_ページ_10.jpg</v>
      </c>
    </row>
    <row r="2331" spans="1:2" x14ac:dyDescent="0.15">
      <c r="A2331" t="s">
        <v>2306</v>
      </c>
      <c r="B2331" t="str">
        <f>HYPERLINK("し/しょう　傷寒　1794　杉山流鍼術　島浦和田一.jpg")</f>
        <v>し/しょう　傷寒　1794　杉山流鍼術　島浦和田一.jpg</v>
      </c>
    </row>
    <row r="2332" spans="1:2" x14ac:dyDescent="0.15">
      <c r="A2332" t="s">
        <v>2307</v>
      </c>
      <c r="B2332" t="str">
        <f>HYPERLINK("し/しょう　傷寒　1813　名家灸選　浅井惟亨.jpg")</f>
        <v>し/しょう　傷寒　1813　名家灸選　浅井惟亨.jpg</v>
      </c>
    </row>
    <row r="2333" spans="1:2" x14ac:dyDescent="0.15">
      <c r="A2333" t="s">
        <v>2308</v>
      </c>
      <c r="B2333" t="str">
        <f>HYPERLINK("し/しょう　傷寒　傷風、瘟疫、感冒　1686　鍼灸要法指南　岩田利斎_ページ_1.jpg")</f>
        <v>し/しょう　傷寒　傷風、瘟疫、感冒　1686　鍼灸要法指南　岩田利斎_ページ_1.jpg</v>
      </c>
    </row>
    <row r="2334" spans="1:2" x14ac:dyDescent="0.15">
      <c r="A2334" t="s">
        <v>2309</v>
      </c>
      <c r="B2334" t="str">
        <f>HYPERLINK("し/しょう　傷寒　傷風、瘟疫、感冒　1686　鍼灸要法指南　岩田利斎_ページ_2.jpg")</f>
        <v>し/しょう　傷寒　傷風、瘟疫、感冒　1686　鍼灸要法指南　岩田利斎_ページ_2.jpg</v>
      </c>
    </row>
    <row r="2335" spans="1:2" x14ac:dyDescent="0.15">
      <c r="A2335" t="s">
        <v>2310</v>
      </c>
      <c r="B2335" t="str">
        <f>HYPERLINK("し/しょう　傷寒　傷風、瘟疫、感冒　1686　鍼灸要法指南　岩田利斎_ページ_3.jpg")</f>
        <v>し/しょう　傷寒　傷風、瘟疫、感冒　1686　鍼灸要法指南　岩田利斎_ページ_3.jpg</v>
      </c>
    </row>
    <row r="2336" spans="1:2" x14ac:dyDescent="0.15">
      <c r="A2336" t="s">
        <v>2311</v>
      </c>
      <c r="B2336" t="str">
        <f>HYPERLINK("し/しょう　傷寒　傷風、瘟疫、感冒　1686　鍼灸要法指南　岩田利斎_ページ_4.jpg")</f>
        <v>し/しょう　傷寒　傷風、瘟疫、感冒　1686　鍼灸要法指南　岩田利斎_ページ_4.jpg</v>
      </c>
    </row>
    <row r="2337" spans="1:2" x14ac:dyDescent="0.15">
      <c r="A2337" t="s">
        <v>2312</v>
      </c>
      <c r="B2337" t="str">
        <f>HYPERLINK("し/しょう　傷寒　成書年未詳　経穴図解　著者未詳_ページ_1.jpg")</f>
        <v>し/しょう　傷寒　成書年未詳　経穴図解　著者未詳_ページ_1.jpg</v>
      </c>
    </row>
    <row r="2338" spans="1:2" x14ac:dyDescent="0.15">
      <c r="A2338" t="s">
        <v>2313</v>
      </c>
      <c r="B2338" t="str">
        <f>HYPERLINK("し/しょう　傷寒　成書年未詳　経穴図解　著者未詳_ページ_2.jpg")</f>
        <v>し/しょう　傷寒　成書年未詳　経穴図解　著者未詳_ページ_2.jpg</v>
      </c>
    </row>
    <row r="2339" spans="1:2" x14ac:dyDescent="0.15">
      <c r="A2339" t="s">
        <v>2314</v>
      </c>
      <c r="B2339" t="str">
        <f>HYPERLINK("し/しょう　傷寒　熱病　0300　●六経受病発傷寒熱病　第一上　鍼灸甲乙経　皇甫謐_ページ_1.jpg")</f>
        <v>し/しょう　傷寒　熱病　0300　●六経受病発傷寒熱病　第一上　鍼灸甲乙経　皇甫謐_ページ_1.jpg</v>
      </c>
    </row>
    <row r="2340" spans="1:2" x14ac:dyDescent="0.15">
      <c r="A2340" t="s">
        <v>2315</v>
      </c>
      <c r="B2340" t="str">
        <f>HYPERLINK("し/しょう　傷寒　熱病　0300　●六経受病発傷寒熱病　第一上　鍼灸甲乙経　皇甫謐_ページ_2.jpg")</f>
        <v>し/しょう　傷寒　熱病　0300　●六経受病発傷寒熱病　第一上　鍼灸甲乙経　皇甫謐_ページ_2.jpg</v>
      </c>
    </row>
    <row r="2341" spans="1:2" x14ac:dyDescent="0.15">
      <c r="A2341" t="s">
        <v>2316</v>
      </c>
      <c r="B2341" t="str">
        <f>HYPERLINK("し/しょう　傷寒　熱病　0300　●六経受病発傷寒熱病　第一上　鍼灸甲乙経　皇甫謐_ページ_3.jpg")</f>
        <v>し/しょう　傷寒　熱病　0300　●六経受病発傷寒熱病　第一上　鍼灸甲乙経　皇甫謐_ページ_3.jpg</v>
      </c>
    </row>
    <row r="2342" spans="1:2" x14ac:dyDescent="0.15">
      <c r="A2342" t="s">
        <v>2317</v>
      </c>
      <c r="B2342" t="str">
        <f>HYPERLINK("し/しょう　傷寒　熱病　0300　●六経受病発傷寒熱病　第一上　鍼灸甲乙経　皇甫謐_ページ_4.jpg")</f>
        <v>し/しょう　傷寒　熱病　0300　●六経受病発傷寒熱病　第一上　鍼灸甲乙経　皇甫謐_ページ_4.jpg</v>
      </c>
    </row>
    <row r="2343" spans="1:2" x14ac:dyDescent="0.15">
      <c r="A2343" t="s">
        <v>2318</v>
      </c>
      <c r="B2343" t="str">
        <f>HYPERLINK("し/しょう　傷寒　熱病　0300　●六経受病発傷寒熱病　第一上　鍼灸甲乙経　皇甫謐_ページ_5.jpg")</f>
        <v>し/しょう　傷寒　熱病　0300　●六経受病発傷寒熱病　第一上　鍼灸甲乙経　皇甫謐_ページ_5.jpg</v>
      </c>
    </row>
    <row r="2344" spans="1:2" x14ac:dyDescent="0.15">
      <c r="A2344" t="s">
        <v>2319</v>
      </c>
      <c r="B2344" t="str">
        <f>HYPERLINK("し/しょう　傷寒　熱病　0300　●六経受病発傷寒熱病　第一下　鍼灸甲乙経　皇甫謐_ページ_1.jpg")</f>
        <v>し/しょう　傷寒　熱病　0300　●六経受病発傷寒熱病　第一下　鍼灸甲乙経　皇甫謐_ページ_1.jpg</v>
      </c>
    </row>
    <row r="2345" spans="1:2" x14ac:dyDescent="0.15">
      <c r="A2345" t="s">
        <v>2320</v>
      </c>
      <c r="B2345" t="str">
        <f>HYPERLINK("し/しょう　傷寒　熱病　0300　●六経受病発傷寒熱病　第一下　鍼灸甲乙経　皇甫謐_ページ_2.jpg")</f>
        <v>し/しょう　傷寒　熱病　0300　●六経受病発傷寒熱病　第一下　鍼灸甲乙経　皇甫謐_ページ_2.jpg</v>
      </c>
    </row>
    <row r="2346" spans="1:2" x14ac:dyDescent="0.15">
      <c r="A2346" t="s">
        <v>2321</v>
      </c>
      <c r="B2346" t="str">
        <f>HYPERLINK("し/しょう　傷寒　熱病　0300　●六経受病発傷寒熱病　第一下　鍼灸甲乙経　皇甫謐_ページ_3.jpg")</f>
        <v>し/しょう　傷寒　熱病　0300　●六経受病発傷寒熱病　第一下　鍼灸甲乙経　皇甫謐_ページ_3.jpg</v>
      </c>
    </row>
    <row r="2347" spans="1:2" x14ac:dyDescent="0.15">
      <c r="A2347" t="s">
        <v>2322</v>
      </c>
      <c r="B2347" t="str">
        <f>HYPERLINK("し/しょう　傷寒　熱病　0300　●六経受病発傷寒熱病　第一下　鍼灸甲乙経　皇甫謐_ページ_4.jpg")</f>
        <v>し/しょう　傷寒　熱病　0300　●六経受病発傷寒熱病　第一下　鍼灸甲乙経　皇甫謐_ページ_4.jpg</v>
      </c>
    </row>
    <row r="2348" spans="1:2" x14ac:dyDescent="0.15">
      <c r="A2348" t="s">
        <v>2323</v>
      </c>
      <c r="B2348" t="str">
        <f>HYPERLINK("し/しょう　傷寒　熱病　0300　●六経受病発傷寒熱病　第一下　鍼灸甲乙経　皇甫謐_ページ_5.jpg")</f>
        <v>し/しょう　傷寒　熱病　0300　●六経受病発傷寒熱病　第一下　鍼灸甲乙経　皇甫謐_ページ_5.jpg</v>
      </c>
    </row>
    <row r="2349" spans="1:2" x14ac:dyDescent="0.15">
      <c r="A2349" t="s">
        <v>2324</v>
      </c>
      <c r="B2349" t="str">
        <f>HYPERLINK("し/しょう　傷寒　熱病　0300　●六経受病発病寒熱病　第一中　鍼灸甲乙経　皇甫謐_ページ_1.jpg")</f>
        <v>し/しょう　傷寒　熱病　0300　●六経受病発病寒熱病　第一中　鍼灸甲乙経　皇甫謐_ページ_1.jpg</v>
      </c>
    </row>
    <row r="2350" spans="1:2" x14ac:dyDescent="0.15">
      <c r="A2350" t="s">
        <v>2325</v>
      </c>
      <c r="B2350" t="str">
        <f>HYPERLINK("し/しょう　傷寒　熱病　0300　●六経受病発病寒熱病　第一中　鍼灸甲乙経　皇甫謐_ページ_2.jpg")</f>
        <v>し/しょう　傷寒　熱病　0300　●六経受病発病寒熱病　第一中　鍼灸甲乙経　皇甫謐_ページ_2.jpg</v>
      </c>
    </row>
    <row r="2351" spans="1:2" x14ac:dyDescent="0.15">
      <c r="A2351" t="s">
        <v>2326</v>
      </c>
      <c r="B2351" t="str">
        <f>HYPERLINK("し/しょう　傷寒　熱病　0300　●六経受病発病寒熱病　第一中　鍼灸甲乙経　皇甫謐_ページ_3.jpg")</f>
        <v>し/しょう　傷寒　熱病　0300　●六経受病発病寒熱病　第一中　鍼灸甲乙経　皇甫謐_ページ_3.jpg</v>
      </c>
    </row>
    <row r="2352" spans="1:2" x14ac:dyDescent="0.15">
      <c r="A2352" t="s">
        <v>2327</v>
      </c>
      <c r="B2352" t="str">
        <f>HYPERLINK("し/しょう　傷寒　熱病　0300　●六経受病発病寒熱病　第一中　鍼灸甲乙経　皇甫謐_ページ_4.jpg")</f>
        <v>し/しょう　傷寒　熱病　0300　●六経受病発病寒熱病　第一中　鍼灸甲乙経　皇甫謐_ページ_4.jpg</v>
      </c>
    </row>
    <row r="2353" spans="1:2" x14ac:dyDescent="0.15">
      <c r="A2353" t="s">
        <v>2328</v>
      </c>
      <c r="B2353" t="str">
        <f>HYPERLINK("し/しょう　傷寒　熱病　0300　●六経受病発病寒熱病　第一中　鍼灸甲乙経　皇甫謐_ページ_5.jpg")</f>
        <v>し/しょう　傷寒　熱病　0300　●六経受病発病寒熱病　第一中　鍼灸甲乙経　皇甫謐_ページ_5.jpg</v>
      </c>
    </row>
    <row r="2354" spans="1:2" x14ac:dyDescent="0.15">
      <c r="A2354" t="s">
        <v>2329</v>
      </c>
      <c r="B2354" t="str">
        <f>HYPERLINK("し/しょう　傷寒　熱病　0300　●六経受病発病寒熱病　第一中　鍼灸甲乙経　皇甫謐_ページ_6.jpg")</f>
        <v>し/しょう　傷寒　熱病　0300　●六経受病発病寒熱病　第一中　鍼灸甲乙経　皇甫謐_ページ_6.jpg</v>
      </c>
    </row>
    <row r="2355" spans="1:2" x14ac:dyDescent="0.15">
      <c r="A2355" t="s">
        <v>2330</v>
      </c>
      <c r="B2355" t="str">
        <f>HYPERLINK("し/しょう　傷寒　熱病　0300　●六経受病発病寒熱病　第一中　鍼灸甲乙経　皇甫謐_ページ_7.jpg")</f>
        <v>し/しょう　傷寒　熱病　0300　●六経受病発病寒熱病　第一中　鍼灸甲乙経　皇甫謐_ページ_7.jpg</v>
      </c>
    </row>
    <row r="2356" spans="1:2" x14ac:dyDescent="0.15">
      <c r="A2356" t="s">
        <v>2331</v>
      </c>
      <c r="B2356" t="str">
        <f>HYPERLINK("し/しょう　傷寒　玉機微義針灸証治　1537　鍼灸聚英　明・高武_ページ_1.jpg")</f>
        <v>し/しょう　傷寒　玉機微義針灸証治　1537　鍼灸聚英　明・高武_ページ_1.jpg</v>
      </c>
    </row>
    <row r="2357" spans="1:2" x14ac:dyDescent="0.15">
      <c r="A2357" t="s">
        <v>2332</v>
      </c>
      <c r="B2357" t="str">
        <f>HYPERLINK("し/しょう　傷寒　玉機微義針灸証治　1537　鍼灸聚英　明・高武_ページ_2.jpg")</f>
        <v>し/しょう　傷寒　玉機微義針灸証治　1537　鍼灸聚英　明・高武_ページ_2.jpg</v>
      </c>
    </row>
    <row r="2358" spans="1:2" x14ac:dyDescent="0.15">
      <c r="A2358" t="s">
        <v>2333</v>
      </c>
      <c r="B2358" t="str">
        <f>HYPERLINK("し/しょう　傷寒　玉機微義針灸証治　1537　鍼灸聚英　明・高武_ページ_3.jpg")</f>
        <v>し/しょう　傷寒　玉機微義針灸証治　1537　鍼灸聚英　明・高武_ページ_3.jpg</v>
      </c>
    </row>
    <row r="2359" spans="1:2" x14ac:dyDescent="0.15">
      <c r="A2359" t="s">
        <v>2334</v>
      </c>
      <c r="B2359" t="str">
        <f>HYPERLINK("し/しょう　傷寒交汗不出　1315　鍼経摘英集　元・杜思敬「済生抜粋方」_ページ_1.jpg")</f>
        <v>し/しょう　傷寒交汗不出　1315　鍼経摘英集　元・杜思敬「済生抜粋方」_ページ_1.jpg</v>
      </c>
    </row>
    <row r="2360" spans="1:2" x14ac:dyDescent="0.15">
      <c r="A2360" t="s">
        <v>2335</v>
      </c>
      <c r="B2360" t="str">
        <f>HYPERLINK("し/しょう　傷寒交汗不出　1315　鍼経摘英集　元・杜思敬「済生抜粋方」_ページ_2.jpg")</f>
        <v>し/しょう　傷寒交汗不出　1315　鍼経摘英集　元・杜思敬「済生抜粋方」_ページ_2.jpg</v>
      </c>
    </row>
    <row r="2361" spans="1:2" x14ac:dyDescent="0.15">
      <c r="A2361" t="s">
        <v>2336</v>
      </c>
      <c r="B2361" t="str">
        <f>HYPERLINK("し/しょう　傷寒嘔えつ（諸えつ）　1220　鍼灸資生経　王執中.jpg")</f>
        <v>し/しょう　傷寒嘔えつ（諸えつ）　1220　鍼灸資生経　王執中.jpg</v>
      </c>
    </row>
    <row r="2362" spans="1:2" x14ac:dyDescent="0.15">
      <c r="A2362" t="s">
        <v>2337</v>
      </c>
      <c r="B2362" t="str">
        <f>HYPERLINK("し/しょう　傷寒四肢熱不已　1315　鍼経摘英集　元・杜思敬「済生抜粋方」_ページ_1.jpg")</f>
        <v>し/しょう　傷寒四肢熱不已　1315　鍼経摘英集　元・杜思敬「済生抜粋方」_ページ_1.jpg</v>
      </c>
    </row>
    <row r="2363" spans="1:2" x14ac:dyDescent="0.15">
      <c r="A2363" t="s">
        <v>2338</v>
      </c>
      <c r="B2363" t="str">
        <f>HYPERLINK("し/しょう　傷寒四肢熱不已　1315　鍼経摘英集　元・杜思敬「済生抜粋方」_ページ_2.jpg")</f>
        <v>し/しょう　傷寒四肢熱不已　1315　鍼経摘英集　元・杜思敬「済生抜粋方」_ページ_2.jpg</v>
      </c>
    </row>
    <row r="2364" spans="1:2" x14ac:dyDescent="0.15">
      <c r="A2364" t="s">
        <v>2339</v>
      </c>
      <c r="B2364" t="str">
        <f>HYPERLINK("し/しょう　傷寒在表，発熱悪寒，頭項痛，腰脊強，無汗，尺寸脈倶浮　1315　鍼経摘英集　元・杜思敬「済生抜粋方」.jpg")</f>
        <v>し/しょう　傷寒在表，発熱悪寒，頭項痛，腰脊強，無汗，尺寸脈倶浮　1315　鍼経摘英集　元・杜思敬「済生抜粋方」.jpg</v>
      </c>
    </row>
    <row r="2365" spans="1:2" x14ac:dyDescent="0.15">
      <c r="A2365" t="s">
        <v>2340</v>
      </c>
      <c r="B2365" t="str">
        <f>HYPERLINK("し/しょう　傷寒寒熱　1220　鍼灸資生経　王執中_ページ_1.jpg")</f>
        <v>し/しょう　傷寒寒熱　1220　鍼灸資生経　王執中_ページ_1.jpg</v>
      </c>
    </row>
    <row r="2366" spans="1:2" x14ac:dyDescent="0.15">
      <c r="A2366" t="s">
        <v>2341</v>
      </c>
      <c r="B2366" t="str">
        <f>HYPERLINK("し/しょう　傷寒寒熱　1220　鍼灸資生経　王執中_ページ_2.jpg")</f>
        <v>し/しょう　傷寒寒熱　1220　鍼灸資生経　王執中_ページ_2.jpg</v>
      </c>
    </row>
    <row r="2367" spans="1:2" x14ac:dyDescent="0.15">
      <c r="A2367" t="s">
        <v>2342</v>
      </c>
      <c r="B2367" t="str">
        <f>HYPERLINK("し/しょう　傷寒并熱病　ひへにやぶらるる　1718　鍼灸重宝記　本郷正豊_ページ_1.jpg")</f>
        <v>し/しょう　傷寒并熱病　ひへにやぶらるる　1718　鍼灸重宝記　本郷正豊_ページ_1.jpg</v>
      </c>
    </row>
    <row r="2368" spans="1:2" x14ac:dyDescent="0.15">
      <c r="A2368" t="s">
        <v>2343</v>
      </c>
      <c r="B2368" t="str">
        <f>HYPERLINK("し/しょう　傷寒并熱病　ひへにやぶらるる　1718　鍼灸重宝記　本郷正豊_ページ_2.jpg")</f>
        <v>し/しょう　傷寒并熱病　ひへにやぶらるる　1718　鍼灸重宝記　本郷正豊_ページ_2.jpg</v>
      </c>
    </row>
    <row r="2369" spans="1:2" x14ac:dyDescent="0.15">
      <c r="A2369" t="s">
        <v>2344</v>
      </c>
      <c r="B2369" t="str">
        <f>HYPERLINK("し/しょう　傷寒手足逆冷　1315　鍼経摘英集　元・杜思敬「済生抜粋方」.jpg")</f>
        <v>し/しょう　傷寒手足逆冷　1315　鍼経摘英集　元・杜思敬「済生抜粋方」.jpg</v>
      </c>
    </row>
    <row r="2370" spans="1:2" x14ac:dyDescent="0.15">
      <c r="A2370" t="s">
        <v>2345</v>
      </c>
      <c r="B2370" t="str">
        <f>HYPERLINK("し/しょう　傷寒無汗　1220　鍼灸資生経　王執中_ページ_1.jpg")</f>
        <v>し/しょう　傷寒無汗　1220　鍼灸資生経　王執中_ページ_1.jpg</v>
      </c>
    </row>
    <row r="2371" spans="1:2" x14ac:dyDescent="0.15">
      <c r="A2371" t="s">
        <v>2346</v>
      </c>
      <c r="B2371" t="str">
        <f>HYPERLINK("し/しょう　傷寒無汗　1220　鍼灸資生経　王執中_ページ_2.jpg")</f>
        <v>し/しょう　傷寒無汗　1220　鍼灸資生経　王執中_ページ_2.jpg</v>
      </c>
    </row>
    <row r="2372" spans="1:2" x14ac:dyDescent="0.15">
      <c r="A2372" t="s">
        <v>2347</v>
      </c>
      <c r="B2372" t="str">
        <f>HYPERLINK("し/しょう　傷寒結胸者　1315　鍼経摘英集　元・杜思敬「済生抜粋方」.jpg")</f>
        <v>し/しょう　傷寒結胸者　1315　鍼経摘英集　元・杜思敬「済生抜粋方」.jpg</v>
      </c>
    </row>
    <row r="2373" spans="1:2" x14ac:dyDescent="0.15">
      <c r="A2373" t="s">
        <v>2348</v>
      </c>
      <c r="B2373" t="str">
        <f>HYPERLINK("し/しょう　傷寒胃中熱不已　1315　鍼経摘英集　元・杜思敬「済生抜粋方」.jpg")</f>
        <v>し/しょう　傷寒胃中熱不已　1315　鍼経摘英集　元・杜思敬「済生抜粋方」.jpg</v>
      </c>
    </row>
    <row r="2374" spans="1:2" x14ac:dyDescent="0.15">
      <c r="A2374" t="s">
        <v>2349</v>
      </c>
      <c r="B2374" t="str">
        <f>HYPERLINK("し/しょう　傷寒胸中熱不已　1315　鍼経摘英集　元・杜思敬「済生抜粋方」.jpg")</f>
        <v>し/しょう　傷寒胸中熱不已　1315　鍼経摘英集　元・杜思敬「済生抜粋方」.jpg</v>
      </c>
    </row>
    <row r="2375" spans="1:2" x14ac:dyDescent="0.15">
      <c r="A2375" t="s">
        <v>2350</v>
      </c>
      <c r="B2375" t="str">
        <f>HYPERLINK("し/しょう　傷寒過経　1329　扁鵲神応鍼灸玉龍経　元・王国瑞.jpg")</f>
        <v>し/しょう　傷寒過経　1329　扁鵲神応鍼灸玉龍経　元・王国瑞.jpg</v>
      </c>
    </row>
    <row r="2376" spans="1:2" x14ac:dyDescent="0.15">
      <c r="A2376" t="s">
        <v>2351</v>
      </c>
      <c r="B2376" t="str">
        <f>HYPERLINK("し/しょう　傷寒過経不解　1315　鍼経摘英集　元・杜思敬「済生抜粋方」.jpg")</f>
        <v>し/しょう　傷寒過経不解　1315　鍼経摘英集　元・杜思敬「済生抜粋方」.jpg</v>
      </c>
    </row>
    <row r="2377" spans="1:2" x14ac:dyDescent="0.15">
      <c r="A2377" t="s">
        <v>2352</v>
      </c>
      <c r="B2377" t="str">
        <f>HYPERLINK("し/しょう　傷寒頭疼身熱　1694　選鍼三要集　杉山和一.jpg")</f>
        <v>し/しょう　傷寒頭疼身熱　1694　選鍼三要集　杉山和一.jpg</v>
      </c>
    </row>
    <row r="2378" spans="1:2" x14ac:dyDescent="0.15">
      <c r="A2378" t="s">
        <v>2353</v>
      </c>
      <c r="B2378" t="str">
        <f>HYPERLINK("し/しょう　傷寒頭痛身熱　1761　挨穴捷径　杉原敦_ページ_1.jpg")</f>
        <v>し/しょう　傷寒頭痛身熱　1761　挨穴捷径　杉原敦_ページ_1.jpg</v>
      </c>
    </row>
    <row r="2379" spans="1:2" x14ac:dyDescent="0.15">
      <c r="A2379" t="s">
        <v>2354</v>
      </c>
      <c r="B2379" t="str">
        <f>HYPERLINK("し/しょう　傷寒頭痛身熱　1761　挨穴捷径　杉原敦_ページ_2.jpg")</f>
        <v>し/しょう　傷寒頭痛身熱　1761　挨穴捷径　杉原敦_ページ_2.jpg</v>
      </c>
    </row>
    <row r="2380" spans="1:2" x14ac:dyDescent="0.15">
      <c r="A2380" t="s">
        <v>2355</v>
      </c>
      <c r="B2380" t="str">
        <f>HYPERLINK("し/しょう　傷寒頭痛身熱　1761　挨穴捷径　杉原敦_ページ_3.jpg")</f>
        <v>し/しょう　傷寒頭痛身熱　1761　挨穴捷径　杉原敦_ページ_3.jpg</v>
      </c>
    </row>
    <row r="2381" spans="1:2" x14ac:dyDescent="0.15">
      <c r="A2381" t="s">
        <v>2356</v>
      </c>
      <c r="B2381" t="str">
        <f>HYPERLINK("し/しょう　傷寒頭痛（余見頭痛）　1220　鍼灸資生経　王執中.jpg")</f>
        <v>し/しょう　傷寒頭痛（余見頭痛）　1220　鍼灸資生経　王執中.jpg</v>
      </c>
    </row>
    <row r="2382" spans="1:2" x14ac:dyDescent="0.15">
      <c r="A2382" t="s">
        <v>2357</v>
      </c>
      <c r="B2382" t="str">
        <f>HYPERLINK("し/しょう　傷寒飲水過多，腹脹気喘，心下痛不可忍　1315　鍼経摘英集　元・杜思敬「済生抜粋方」.jpg")</f>
        <v>し/しょう　傷寒飲水過多，腹脹気喘，心下痛不可忍　1315　鍼経摘英集　元・杜思敬「済生抜粋方」.jpg</v>
      </c>
    </row>
    <row r="2383" spans="1:2" x14ac:dyDescent="0.15">
      <c r="A2383" t="s">
        <v>2358</v>
      </c>
      <c r="B2383" t="str">
        <f>HYPERLINK("し/しょう　傷寒（しやうかん）　ねつのあるやまい　熱病　1887（明治20）　鍼灸備要　青山道醇_ページ_1.jpg")</f>
        <v>し/しょう　傷寒（しやうかん）　ねつのあるやまい　熱病　1887（明治20）　鍼灸備要　青山道醇_ページ_1.jpg</v>
      </c>
    </row>
    <row r="2384" spans="1:2" x14ac:dyDescent="0.15">
      <c r="A2384" t="s">
        <v>2359</v>
      </c>
      <c r="B2384" t="str">
        <f>HYPERLINK("し/しょう　傷寒（しやうかん）　ねつのあるやまい　熱病　1887（明治20）　鍼灸備要　青山道醇_ページ_2.jpg")</f>
        <v>し/しょう　傷寒（しやうかん）　ねつのあるやまい　熱病　1887（明治20）　鍼灸備要　青山道醇_ページ_2.jpg</v>
      </c>
    </row>
    <row r="2385" spans="1:2" x14ac:dyDescent="0.15">
      <c r="A2385" t="s">
        <v>2360</v>
      </c>
      <c r="B2385" t="str">
        <f>HYPERLINK("し/しょう　傷暑　1785　鍼書　本城義軒_ページ_1.jpg")</f>
        <v>し/しょう　傷暑　1785　鍼書　本城義軒_ページ_1.jpg</v>
      </c>
    </row>
    <row r="2386" spans="1:2" x14ac:dyDescent="0.15">
      <c r="A2386" t="s">
        <v>2361</v>
      </c>
      <c r="B2386" t="str">
        <f>HYPERLINK("し/しょう　傷暑　1785　鍼書　本城義軒_ページ_2.jpg")</f>
        <v>し/しょう　傷暑　1785　鍼書　本城義軒_ページ_2.jpg</v>
      </c>
    </row>
    <row r="2387" spans="1:2" x14ac:dyDescent="0.15">
      <c r="A2387" t="s">
        <v>2362</v>
      </c>
      <c r="B2387" t="str">
        <f>HYPERLINK("し/しょう　傷風　1329　扁鵲神応鍼灸玉龍経　元・王国瑞_ページ_1.jpg")</f>
        <v>し/しょう　傷風　1329　扁鵲神応鍼灸玉龍経　元・王国瑞_ページ_1.jpg</v>
      </c>
    </row>
    <row r="2388" spans="1:2" x14ac:dyDescent="0.15">
      <c r="A2388" t="s">
        <v>2363</v>
      </c>
      <c r="B2388" t="str">
        <f>HYPERLINK("し/しょう　傷風　1329　扁鵲神応鍼灸玉龍経　元・王国瑞_ページ_2.jpg")</f>
        <v>し/しょう　傷風　1329　扁鵲神応鍼灸玉龍経　元・王国瑞_ページ_2.jpg</v>
      </c>
    </row>
    <row r="2389" spans="1:2" x14ac:dyDescent="0.15">
      <c r="A2389" t="s">
        <v>2364</v>
      </c>
      <c r="B2389" t="str">
        <f>HYPERLINK("し/しょう　傷食　1686　鍼灸要法指南　岩田利斎.jpg")</f>
        <v>し/しょう　傷食　1686　鍼灸要法指南　岩田利斎.jpg</v>
      </c>
    </row>
    <row r="2390" spans="1:2" x14ac:dyDescent="0.15">
      <c r="A2390" t="s">
        <v>2365</v>
      </c>
      <c r="B2390" t="str">
        <f>HYPERLINK("し/しょう　傷食　1718　しょくだたり　鍼灸重宝記　本郷正豊.jpg")</f>
        <v>し/しょう　傷食　1718　しょくだたり　鍼灸重宝記　本郷正豊.jpg</v>
      </c>
    </row>
    <row r="2391" spans="1:2" x14ac:dyDescent="0.15">
      <c r="A2391" t="s">
        <v>2366</v>
      </c>
      <c r="B2391" t="str">
        <f>HYPERLINK("し/しょう　傷食　1767　鍼灸則　菅沼周桂_ページ_1.jpg")</f>
        <v>し/しょう　傷食　1767　鍼灸則　菅沼周桂_ページ_1.jpg</v>
      </c>
    </row>
    <row r="2392" spans="1:2" x14ac:dyDescent="0.15">
      <c r="A2392" t="s">
        <v>2367</v>
      </c>
      <c r="B2392" t="str">
        <f>HYPERLINK("し/しょう　傷食　1767　鍼灸則　菅沼周桂_ページ_2.jpg")</f>
        <v>し/しょう　傷食　1767　鍼灸則　菅沼周桂_ページ_2.jpg</v>
      </c>
    </row>
    <row r="2393" spans="1:2" x14ac:dyDescent="0.15">
      <c r="A2393" t="s">
        <v>2368</v>
      </c>
      <c r="B2393" t="str">
        <f>HYPERLINK("し/しょう　傷食　1800　鍼灸備要　小坂元祐_ページ_1.jpg")</f>
        <v>し/しょう　傷食　1800　鍼灸備要　小坂元祐_ページ_1.jpg</v>
      </c>
    </row>
    <row r="2394" spans="1:2" x14ac:dyDescent="0.15">
      <c r="A2394" t="s">
        <v>2369</v>
      </c>
      <c r="B2394" t="str">
        <f>HYPERLINK("し/しょう　傷食　1800　鍼灸備要　小坂元祐_ページ_2.jpg")</f>
        <v>し/しょう　傷食　1800　鍼灸備要　小坂元祐_ページ_2.jpg</v>
      </c>
    </row>
    <row r="2395" spans="1:2" x14ac:dyDescent="0.15">
      <c r="A2395" t="s">
        <v>2370</v>
      </c>
      <c r="B2395" t="str">
        <f>HYPERLINK("し/しょう　傷飲　傷食　1669　鍼灸枢要　山本玄通_ページ_1.jpg")</f>
        <v>し/しょう　傷飲　傷食　1669　鍼灸枢要　山本玄通_ページ_1.jpg</v>
      </c>
    </row>
    <row r="2396" spans="1:2" x14ac:dyDescent="0.15">
      <c r="A2396" t="s">
        <v>2371</v>
      </c>
      <c r="B2396" t="str">
        <f>HYPERLINK("し/しょう　傷飲　傷食　1669　鍼灸枢要　山本玄通_ページ_2.jpg")</f>
        <v>し/しょう　傷飲　傷食　1669　鍼灸枢要　山本玄通_ページ_2.jpg</v>
      </c>
    </row>
    <row r="2397" spans="1:2" x14ac:dyDescent="0.15">
      <c r="A2397" t="s">
        <v>2372</v>
      </c>
      <c r="B2397" t="str">
        <f>HYPERLINK("し/しょう　傷飲　傷食　1669　鍼灸枢要　山本玄通_ページ_3.jpg")</f>
        <v>し/しょう　傷飲　傷食　1669　鍼灸枢要　山本玄通_ページ_3.jpg</v>
      </c>
    </row>
    <row r="2398" spans="1:2" x14ac:dyDescent="0.15">
      <c r="A2398" t="s">
        <v>2373</v>
      </c>
      <c r="B2398" t="str">
        <f>HYPERLINK("し/しょう　小便不利　1537　鍼灸聚英　明・高武.jpg")</f>
        <v>し/しょう　小便不利　1537　鍼灸聚英　明・高武.jpg</v>
      </c>
    </row>
    <row r="2399" spans="1:2" x14ac:dyDescent="0.15">
      <c r="A2399" t="s">
        <v>2374</v>
      </c>
      <c r="B2399" t="str">
        <f>HYPERLINK("し/しょう　小便不利　1694　選鍼三要集　杉山和一.jpg")</f>
        <v>し/しょう　小便不利　1694　選鍼三要集　杉山和一.jpg</v>
      </c>
    </row>
    <row r="2400" spans="1:2" x14ac:dyDescent="0.15">
      <c r="A2400" t="s">
        <v>2375</v>
      </c>
      <c r="B2400" t="str">
        <f>HYPERLINK("し/しょう　小便不利不通　1624　類経図翼　明・張介賓.jpg")</f>
        <v>し/しょう　小便不利不通　1624　類経図翼　明・張介賓.jpg</v>
      </c>
    </row>
    <row r="2401" spans="1:2" x14ac:dyDescent="0.15">
      <c r="A2401" t="s">
        <v>2376</v>
      </c>
      <c r="B2401" t="str">
        <f>HYPERLINK("し/しょう　小便不禁　1694　選鍼三要集　杉山和一.jpg")</f>
        <v>し/しょう　小便不禁　1694　選鍼三要集　杉山和一.jpg</v>
      </c>
    </row>
    <row r="2402" spans="1:2" x14ac:dyDescent="0.15">
      <c r="A2402" t="s">
        <v>2377</v>
      </c>
      <c r="B2402" t="str">
        <f>HYPERLINK("し/しょう　小便不禁　小便にくくりのなくなる病　膀胱括約筋麻痺　1887（明治20）　鍼灸備要　青山道醇.jpg")</f>
        <v>し/しょう　小便不禁　小便にくくりのなくなる病　膀胱括約筋麻痺　1887（明治20）　鍼灸備要　青山道醇.jpg</v>
      </c>
    </row>
    <row r="2403" spans="1:2" x14ac:dyDescent="0.15">
      <c r="A2403" t="s">
        <v>2378</v>
      </c>
      <c r="B2403" t="str">
        <f>HYPERLINK("し/しょう　小便不禁（遺尿附）　1220　鍼灸資生経　王執中.jpg")</f>
        <v>し/しょう　小便不禁（遺尿附）　1220　鍼灸資生経　王執中.jpg</v>
      </c>
    </row>
    <row r="2404" spans="1:2" x14ac:dyDescent="0.15">
      <c r="A2404" t="s">
        <v>2379</v>
      </c>
      <c r="B2404" t="str">
        <f>HYPERLINK("し/しょう　小便不通　1594　経脈方寸秘書　曲直瀬道三_ページ_1.jpg")</f>
        <v>し/しょう　小便不通　1594　経脈方寸秘書　曲直瀬道三_ページ_1.jpg</v>
      </c>
    </row>
    <row r="2405" spans="1:2" x14ac:dyDescent="0.15">
      <c r="A2405" t="s">
        <v>2380</v>
      </c>
      <c r="B2405" t="str">
        <f>HYPERLINK("し/しょう　小便不通　1594　経脈方寸秘書　曲直瀬道三_ページ_2.jpg")</f>
        <v>し/しょう　小便不通　1594　経脈方寸秘書　曲直瀬道三_ページ_2.jpg</v>
      </c>
    </row>
    <row r="2406" spans="1:2" x14ac:dyDescent="0.15">
      <c r="A2406" t="s">
        <v>2381</v>
      </c>
      <c r="B2406" t="str">
        <f>HYPERLINK("し/しょう　小便不通　1679　鍼法奇貨　渡辺東伯_ページ_1.jpg")</f>
        <v>し/しょう　小便不通　1679　鍼法奇貨　渡辺東伯_ページ_1.jpg</v>
      </c>
    </row>
    <row r="2407" spans="1:2" x14ac:dyDescent="0.15">
      <c r="A2407" t="s">
        <v>2382</v>
      </c>
      <c r="B2407" t="str">
        <f>HYPERLINK("し/しょう　小便不通　1679　鍼法奇貨　渡辺東伯_ページ_2.jpg")</f>
        <v>し/しょう　小便不通　1679　鍼法奇貨　渡辺東伯_ページ_2.jpg</v>
      </c>
    </row>
    <row r="2408" spans="1:2" x14ac:dyDescent="0.15">
      <c r="A2408" t="s">
        <v>2383</v>
      </c>
      <c r="B2408" t="str">
        <f>HYPERLINK("し/しょう　小便不通　1679　鍼法奇貨　渡辺東伯_ページ_3.jpg")</f>
        <v>し/しょう　小便不通　1679　鍼法奇貨　渡辺東伯_ページ_3.jpg</v>
      </c>
    </row>
    <row r="2409" spans="1:2" x14ac:dyDescent="0.15">
      <c r="A2409" t="s">
        <v>2384</v>
      </c>
      <c r="B2409" t="str">
        <f>HYPERLINK("し/しょう　小便不通　1693　鍼灸要歌集　安井昌玄.jpg")</f>
        <v>し/しょう　小便不通　1693　鍼灸要歌集　安井昌玄.jpg</v>
      </c>
    </row>
    <row r="2410" spans="1:2" x14ac:dyDescent="0.15">
      <c r="A2410" t="s">
        <v>2385</v>
      </c>
      <c r="B2410" t="str">
        <f>HYPERLINK("し/しょう　小便不通　1785　鍼書　本城義軒_ページ_1.jpg")</f>
        <v>し/しょう　小便不通　1785　鍼書　本城義軒_ページ_1.jpg</v>
      </c>
    </row>
    <row r="2411" spans="1:2" x14ac:dyDescent="0.15">
      <c r="A2411" t="s">
        <v>2386</v>
      </c>
      <c r="B2411" t="str">
        <f>HYPERLINK("し/しょう　小便不通　1785　鍼書　本城義軒_ページ_2.jpg")</f>
        <v>し/しょう　小便不通　1785　鍼書　本城義軒_ページ_2.jpg</v>
      </c>
    </row>
    <row r="2412" spans="1:2" x14ac:dyDescent="0.15">
      <c r="A2412" t="s">
        <v>2387</v>
      </c>
      <c r="B2412" t="str">
        <f>HYPERLINK("し/しょう　小便不通　小便つまり　尿閉　1887（明治20）　鍼灸備要　青山道醇_ページ_1.jpg")</f>
        <v>し/しょう　小便不通　小便つまり　尿閉　1887（明治20）　鍼灸備要　青山道醇_ページ_1.jpg</v>
      </c>
    </row>
    <row r="2413" spans="1:2" x14ac:dyDescent="0.15">
      <c r="A2413" t="s">
        <v>2388</v>
      </c>
      <c r="B2413" t="str">
        <f>HYPERLINK("し/しょう　小便不通　小便つまり　尿閉　1887（明治20）　鍼灸備要　青山道醇_ページ_2.jpg")</f>
        <v>し/しょう　小便不通　小便つまり　尿閉　1887（明治20）　鍼灸備要　青山道醇_ページ_2.jpg</v>
      </c>
    </row>
    <row r="2414" spans="1:2" x14ac:dyDescent="0.15">
      <c r="A2414" t="s">
        <v>2389</v>
      </c>
      <c r="B2414" t="str">
        <f>HYPERLINK("し/しょう　小便五色　1220　鍼灸資生経　王執中_ページ_1.jpg")</f>
        <v>し/しょう　小便五色　1220　鍼灸資生経　王執中_ページ_1.jpg</v>
      </c>
    </row>
    <row r="2415" spans="1:2" x14ac:dyDescent="0.15">
      <c r="A2415" t="s">
        <v>2390</v>
      </c>
      <c r="B2415" t="str">
        <f>HYPERLINK("し/しょう　小便五色　1220　鍼灸資生経　王執中_ページ_2.jpg")</f>
        <v>し/しょう　小便五色　1220　鍼灸資生経　王執中_ページ_2.jpg</v>
      </c>
    </row>
    <row r="2416" spans="1:2" x14ac:dyDescent="0.15">
      <c r="A2416" t="s">
        <v>2391</v>
      </c>
      <c r="B2416" t="str">
        <f>HYPERLINK("し/しょう　小便急閉　1800　岡田流鍼術書　岡田見龍_ページ_1.jpg")</f>
        <v>し/しょう　小便急閉　1800　岡田流鍼術書　岡田見龍_ページ_1.jpg</v>
      </c>
    </row>
    <row r="2417" spans="1:2" x14ac:dyDescent="0.15">
      <c r="A2417" t="s">
        <v>2392</v>
      </c>
      <c r="B2417" t="str">
        <f>HYPERLINK("し/しょう　小便急閉　1800　岡田流鍼術書　岡田見龍_ページ_2.jpg")</f>
        <v>し/しょう　小便急閉　1800　岡田流鍼術書　岡田見龍_ページ_2.jpg</v>
      </c>
    </row>
    <row r="2418" spans="1:2" x14ac:dyDescent="0.15">
      <c r="A2418" t="s">
        <v>2393</v>
      </c>
      <c r="B2418" t="str">
        <f>HYPERLINK("し/しょう　小便渋　1574　兪穴参伍的法　秦宗巴.jpg")</f>
        <v>し/しょう　小便渋　1574　兪穴参伍的法　秦宗巴.jpg</v>
      </c>
    </row>
    <row r="2419" spans="1:2" x14ac:dyDescent="0.15">
      <c r="A2419" t="s">
        <v>2394</v>
      </c>
      <c r="B2419" t="str">
        <f>HYPERLINK("し/しょう　小便諸症　1669　鍼灸枢要　山本玄通_ページ_01.jpg")</f>
        <v>し/しょう　小便諸症　1669　鍼灸枢要　山本玄通_ページ_01.jpg</v>
      </c>
    </row>
    <row r="2420" spans="1:2" x14ac:dyDescent="0.15">
      <c r="A2420" t="s">
        <v>2395</v>
      </c>
      <c r="B2420" t="str">
        <f>HYPERLINK("し/しょう　小便諸症　1669　鍼灸枢要　山本玄通_ページ_02.jpg")</f>
        <v>し/しょう　小便諸症　1669　鍼灸枢要　山本玄通_ページ_02.jpg</v>
      </c>
    </row>
    <row r="2421" spans="1:2" x14ac:dyDescent="0.15">
      <c r="A2421" t="s">
        <v>2396</v>
      </c>
      <c r="B2421" t="str">
        <f>HYPERLINK("し/しょう　小便諸症　1669　鍼灸枢要　山本玄通_ページ_03.jpg")</f>
        <v>し/しょう　小便諸症　1669　鍼灸枢要　山本玄通_ページ_03.jpg</v>
      </c>
    </row>
    <row r="2422" spans="1:2" x14ac:dyDescent="0.15">
      <c r="A2422" t="s">
        <v>2397</v>
      </c>
      <c r="B2422" t="str">
        <f>HYPERLINK("し/しょう　小便諸症　1669　鍼灸枢要　山本玄通_ページ_04.jpg")</f>
        <v>し/しょう　小便諸症　1669　鍼灸枢要　山本玄通_ページ_04.jpg</v>
      </c>
    </row>
    <row r="2423" spans="1:2" x14ac:dyDescent="0.15">
      <c r="A2423" t="s">
        <v>2398</v>
      </c>
      <c r="B2423" t="str">
        <f>HYPERLINK("し/しょう　小便諸症　1669　鍼灸枢要　山本玄通_ページ_05.jpg")</f>
        <v>し/しょう　小便諸症　1669　鍼灸枢要　山本玄通_ページ_05.jpg</v>
      </c>
    </row>
    <row r="2424" spans="1:2" x14ac:dyDescent="0.15">
      <c r="A2424" t="s">
        <v>2399</v>
      </c>
      <c r="B2424" t="str">
        <f>HYPERLINK("し/しょう　小便諸症　1669　鍼灸枢要　山本玄通_ページ_06.jpg")</f>
        <v>し/しょう　小便諸症　1669　鍼灸枢要　山本玄通_ページ_06.jpg</v>
      </c>
    </row>
    <row r="2425" spans="1:2" x14ac:dyDescent="0.15">
      <c r="A2425" t="s">
        <v>2400</v>
      </c>
      <c r="B2425" t="str">
        <f>HYPERLINK("し/しょう　小便諸症　1669　鍼灸枢要　山本玄通_ページ_07.jpg")</f>
        <v>し/しょう　小便諸症　1669　鍼灸枢要　山本玄通_ページ_07.jpg</v>
      </c>
    </row>
    <row r="2426" spans="1:2" x14ac:dyDescent="0.15">
      <c r="A2426" t="s">
        <v>2401</v>
      </c>
      <c r="B2426" t="str">
        <f>HYPERLINK("し/しょう　小便諸症　1669　鍼灸枢要　山本玄通_ページ_08.jpg")</f>
        <v>し/しょう　小便諸症　1669　鍼灸枢要　山本玄通_ページ_08.jpg</v>
      </c>
    </row>
    <row r="2427" spans="1:2" x14ac:dyDescent="0.15">
      <c r="A2427" t="s">
        <v>2402</v>
      </c>
      <c r="B2427" t="str">
        <f>HYPERLINK("し/しょう　小便諸症　1669　鍼灸枢要　山本玄通_ページ_09.jpg")</f>
        <v>し/しょう　小便諸症　1669　鍼灸枢要　山本玄通_ページ_09.jpg</v>
      </c>
    </row>
    <row r="2428" spans="1:2" x14ac:dyDescent="0.15">
      <c r="A2428" t="s">
        <v>2403</v>
      </c>
      <c r="B2428" t="str">
        <f>HYPERLINK("し/しょう　小便諸症　1669　鍼灸枢要　山本玄通_ページ_10.jpg")</f>
        <v>し/しょう　小便諸症　1669　鍼灸枢要　山本玄通_ページ_10.jpg</v>
      </c>
    </row>
    <row r="2429" spans="1:2" x14ac:dyDescent="0.15">
      <c r="A2429" t="s">
        <v>2404</v>
      </c>
      <c r="B2429" t="str">
        <f>HYPERLINK("し/しょう　小便諸症　1800　鍼灸備要　小坂元祐_ページ_1.jpg")</f>
        <v>し/しょう　小便諸症　1800　鍼灸備要　小坂元祐_ページ_1.jpg</v>
      </c>
    </row>
    <row r="2430" spans="1:2" x14ac:dyDescent="0.15">
      <c r="A2430" t="s">
        <v>2405</v>
      </c>
      <c r="B2430" t="str">
        <f>HYPERLINK("し/しょう　小便諸症　1800　鍼灸備要　小坂元祐_ページ_2.jpg")</f>
        <v>し/しょう　小便諸症　1800　鍼灸備要　小坂元祐_ページ_2.jpg</v>
      </c>
    </row>
    <row r="2431" spans="1:2" x14ac:dyDescent="0.15">
      <c r="A2431" t="s">
        <v>2406</v>
      </c>
      <c r="B2431" t="str">
        <f>HYPERLINK("し/しょう　小便閉　1693　鍼灸要歌集　安井昌玄.jpg")</f>
        <v>し/しょう　小便閉　1693　鍼灸要歌集　安井昌玄.jpg</v>
      </c>
    </row>
    <row r="2432" spans="1:2" x14ac:dyDescent="0.15">
      <c r="A2432" t="s">
        <v>2407</v>
      </c>
      <c r="B2432" t="str">
        <f>HYPERLINK("し/しょう　小便閉　1693　鍼灸要歌集　安井昌玄_ページ_1.jpg")</f>
        <v>し/しょう　小便閉　1693　鍼灸要歌集　安井昌玄_ページ_1.jpg</v>
      </c>
    </row>
    <row r="2433" spans="1:2" x14ac:dyDescent="0.15">
      <c r="A2433" t="s">
        <v>2408</v>
      </c>
      <c r="B2433" t="str">
        <f>HYPERLINK("し/しょう　小便閉　1693　鍼灸要歌集　安井昌玄_ページ_2.jpg")</f>
        <v>し/しょう　小便閉　1693　鍼灸要歌集　安井昌玄_ページ_2.jpg</v>
      </c>
    </row>
    <row r="2434" spans="1:2" x14ac:dyDescent="0.15">
      <c r="A2434" t="s">
        <v>2409</v>
      </c>
      <c r="B2434" t="str">
        <f>HYPERLINK("し/しょう　小便閉　1767　鍼灸則　菅沼周桂.jpg")</f>
        <v>し/しょう　小便閉　1767　鍼灸則　菅沼周桂.jpg</v>
      </c>
    </row>
    <row r="2435" spans="1:2" x14ac:dyDescent="0.15">
      <c r="A2435" t="s">
        <v>2410</v>
      </c>
      <c r="B2435" t="str">
        <f>HYPERLINK("し/しょう　小便閉　りゅう　1686　鍼灸要法指南　岩田利斎_ページ_1.jpg")</f>
        <v>し/しょう　小便閉　りゅう　1686　鍼灸要法指南　岩田利斎_ページ_1.jpg</v>
      </c>
    </row>
    <row r="2436" spans="1:2" x14ac:dyDescent="0.15">
      <c r="A2436" t="s">
        <v>2411</v>
      </c>
      <c r="B2436" t="str">
        <f>HYPERLINK("し/しょう　小便閉　りゅう　1686　鍼灸要法指南　岩田利斎_ページ_2.jpg")</f>
        <v>し/しょう　小便閉　りゅう　1686　鍼灸要法指南　岩田利斎_ページ_2.jpg</v>
      </c>
    </row>
    <row r="2437" spans="1:2" x14ac:dyDescent="0.15">
      <c r="A2437" t="s">
        <v>2412</v>
      </c>
      <c r="B2437" t="str">
        <f>HYPERLINK("し/しょう　小便閉じて悶絶する者　小便つまりの人　1780　鍼灸極秘伝　木村太沖.jpg")</f>
        <v>し/しょう　小便閉じて悶絶する者　小便つまりの人　1780　鍼灸極秘伝　木村太沖.jpg</v>
      </c>
    </row>
    <row r="2438" spans="1:2" x14ac:dyDescent="0.15">
      <c r="A2438" t="s">
        <v>2413</v>
      </c>
      <c r="B2438" t="str">
        <f>HYPERLINK("し/しょう　小便難　1220　鍼灸資生経　王執中_ページ_1.jpg")</f>
        <v>し/しょう　小便難　1220　鍼灸資生経　王執中_ページ_1.jpg</v>
      </c>
    </row>
    <row r="2439" spans="1:2" x14ac:dyDescent="0.15">
      <c r="A2439" t="s">
        <v>2414</v>
      </c>
      <c r="B2439" t="str">
        <f>HYPERLINK("し/しょう　小便難　1220　鍼灸資生経　王執中_ページ_2.jpg")</f>
        <v>し/しょう　小便難　1220　鍼灸資生経　王執中_ページ_2.jpg</v>
      </c>
    </row>
    <row r="2440" spans="1:2" x14ac:dyDescent="0.15">
      <c r="A2440" t="s">
        <v>2415</v>
      </c>
      <c r="B2440" t="str">
        <f>HYPERLINK("し/しょう　小便頓閉　1765　鍼法弁惑　藤井秀孟.jpg")</f>
        <v>し/しょう　小便頓閉　1765　鍼法弁惑　藤井秀孟.jpg</v>
      </c>
    </row>
    <row r="2441" spans="1:2" x14ac:dyDescent="0.15">
      <c r="A2441" t="s">
        <v>2416</v>
      </c>
      <c r="B2441" t="str">
        <f>HYPERLINK("し/しょう　小児　0300　●小児雑病　第十一　鍼灸甲乙経　皇甫謐_ページ_1.jpg")</f>
        <v>し/しょう　小児　0300　●小児雑病　第十一　鍼灸甲乙経　皇甫謐_ページ_1.jpg</v>
      </c>
    </row>
    <row r="2442" spans="1:2" x14ac:dyDescent="0.15">
      <c r="A2442" t="s">
        <v>2417</v>
      </c>
      <c r="B2442" t="str">
        <f>HYPERLINK("し/しょう　小児　0300　●小児雑病　第十一　鍼灸甲乙経　皇甫謐_ページ_2.jpg")</f>
        <v>し/しょう　小児　0300　●小児雑病　第十一　鍼灸甲乙経　皇甫謐_ページ_2.jpg</v>
      </c>
    </row>
    <row r="2443" spans="1:2" x14ac:dyDescent="0.15">
      <c r="A2443" t="s">
        <v>2418</v>
      </c>
      <c r="B2443" t="str">
        <f>HYPERLINK("し/しょう　小児　1680　鍼灸抜萃　著者未詳-02.jpg")</f>
        <v>し/しょう　小児　1680　鍼灸抜萃　著者未詳-02.jpg</v>
      </c>
    </row>
    <row r="2444" spans="1:2" x14ac:dyDescent="0.15">
      <c r="A2444" t="s">
        <v>2419</v>
      </c>
      <c r="B2444" t="str">
        <f>HYPERLINK("し/しょう　小児　1680　鍼灸抜萃　著者未詳.jpg")</f>
        <v>し/しょう　小児　1680　鍼灸抜萃　著者未詳.jpg</v>
      </c>
    </row>
    <row r="2445" spans="1:2" x14ac:dyDescent="0.15">
      <c r="A2445" t="s">
        <v>2420</v>
      </c>
      <c r="B2445" t="str">
        <f>HYPERLINK("し/しょう　小児　1696　広益鍼灸抜萃　著者未詳_ページ_1.jpg")</f>
        <v>し/しょう　小児　1696　広益鍼灸抜萃　著者未詳_ページ_1.jpg</v>
      </c>
    </row>
    <row r="2446" spans="1:2" x14ac:dyDescent="0.15">
      <c r="A2446" t="s">
        <v>2421</v>
      </c>
      <c r="B2446" t="str">
        <f>HYPERLINK("し/しょう　小児　1696　広益鍼灸抜萃　著者未詳_ページ_2.jpg")</f>
        <v>し/しょう　小児　1696　広益鍼灸抜萃　著者未詳_ページ_2.jpg</v>
      </c>
    </row>
    <row r="2447" spans="1:2" x14ac:dyDescent="0.15">
      <c r="A2447" t="s">
        <v>2422</v>
      </c>
      <c r="B2447" t="str">
        <f>HYPERLINK("し/しょう　小児　1696　広益鍼灸抜萃　著者未詳_ページ_3.jpg")</f>
        <v>し/しょう　小児　1696　広益鍼灸抜萃　著者未詳_ページ_3.jpg</v>
      </c>
    </row>
    <row r="2448" spans="1:2" x14ac:dyDescent="0.15">
      <c r="A2448" t="s">
        <v>2423</v>
      </c>
      <c r="B2448" t="str">
        <f>HYPERLINK("し/しょう　小児　1696　広益鍼灸抜萃　著者未詳_ページ_4.jpg")</f>
        <v>し/しょう　小児　1696　広益鍼灸抜萃　著者未詳_ページ_4.jpg</v>
      </c>
    </row>
    <row r="2449" spans="1:2" x14ac:dyDescent="0.15">
      <c r="A2449" t="s">
        <v>2424</v>
      </c>
      <c r="B2449" t="str">
        <f>HYPERLINK("し/しょう　小児　1696　広益鍼灸抜萃　著者未詳_ページ_5.jpg")</f>
        <v>し/しょう　小児　1696　広益鍼灸抜萃　著者未詳_ページ_5.jpg</v>
      </c>
    </row>
    <row r="2450" spans="1:2" x14ac:dyDescent="0.15">
      <c r="A2450" t="s">
        <v>2425</v>
      </c>
      <c r="B2450" t="str">
        <f>HYPERLINK("し/しょう　小児　1698　鍼灸抜粋大成　岡本一抱.jpg")</f>
        <v>し/しょう　小児　1698　鍼灸抜粋大成　岡本一抱.jpg</v>
      </c>
    </row>
    <row r="2451" spans="1:2" x14ac:dyDescent="0.15">
      <c r="A2451" t="s">
        <v>2426</v>
      </c>
      <c r="B2451" t="str">
        <f>HYPERLINK("し/しょう　小児　1785　鍼書　本城義軒.jpg")</f>
        <v>し/しょう　小児　1785　鍼書　本城義軒.jpg</v>
      </c>
    </row>
    <row r="2452" spans="1:2" x14ac:dyDescent="0.15">
      <c r="A2452" t="s">
        <v>2427</v>
      </c>
      <c r="B2452" t="str">
        <f>HYPERLINK("し/しょう　小児　1800　鍼灸備要　小坂元祐_ページ_1.jpg")</f>
        <v>し/しょう　小児　1800　鍼灸備要　小坂元祐_ページ_1.jpg</v>
      </c>
    </row>
    <row r="2453" spans="1:2" x14ac:dyDescent="0.15">
      <c r="A2453" t="s">
        <v>2428</v>
      </c>
      <c r="B2453" t="str">
        <f>HYPERLINK("し/しょう　小児　1800　鍼灸備要　小坂元祐_ページ_2.jpg")</f>
        <v>し/しょう　小児　1800　鍼灸備要　小坂元祐_ページ_2.jpg</v>
      </c>
    </row>
    <row r="2454" spans="1:2" x14ac:dyDescent="0.15">
      <c r="A2454" t="s">
        <v>2429</v>
      </c>
      <c r="B2454" t="str">
        <f>HYPERLINK("し/しょう　小児　1800　鍼灸備要　小坂元祐_ページ_3.jpg")</f>
        <v>し/しょう　小児　1800　鍼灸備要　小坂元祐_ページ_3.jpg</v>
      </c>
    </row>
    <row r="2455" spans="1:2" x14ac:dyDescent="0.15">
      <c r="A2455" t="s">
        <v>2430</v>
      </c>
      <c r="B2455" t="str">
        <f>HYPERLINK("し/しょう　小児　1813　名家灸選　浅井惟亨.jpg")</f>
        <v>し/しょう　小児　1813　名家灸選　浅井惟亨.jpg</v>
      </c>
    </row>
    <row r="2456" spans="1:2" x14ac:dyDescent="0.15">
      <c r="A2456" t="s">
        <v>2431</v>
      </c>
      <c r="B2456" t="str">
        <f>HYPERLINK("し/しょう　小児　玉機微義針灸証治　1537　鍼灸聚英　明・高武_ページ_1.jpg")</f>
        <v>し/しょう　小児　玉機微義針灸証治　1537　鍼灸聚英　明・高武_ページ_1.jpg</v>
      </c>
    </row>
    <row r="2457" spans="1:2" x14ac:dyDescent="0.15">
      <c r="A2457" t="s">
        <v>2432</v>
      </c>
      <c r="B2457" t="str">
        <f>HYPERLINK("し/しょう　小児　玉機微義針灸証治　1537　鍼灸聚英　明・高武_ページ_2.jpg")</f>
        <v>し/しょう　小児　玉機微義針灸証治　1537　鍼灸聚英　明・高武_ページ_2.jpg</v>
      </c>
    </row>
    <row r="2458" spans="1:2" x14ac:dyDescent="0.15">
      <c r="A2458" t="s">
        <v>2433</v>
      </c>
      <c r="B2458" t="str">
        <f>HYPERLINK("し/しょう　小児　玉機微義針灸証治　1537　鍼灸聚英　明・高武_ページ_3.jpg")</f>
        <v>し/しょう　小児　玉機微義針灸証治　1537　鍼灸聚英　明・高武_ページ_3.jpg</v>
      </c>
    </row>
    <row r="2459" spans="1:2" x14ac:dyDescent="0.15">
      <c r="A2459" t="s">
        <v>2434</v>
      </c>
      <c r="B2459" t="str">
        <f>HYPERLINK("し/しょう　小児けいしょう（けいしょう）　そりかへる　角弓反張　1887（明治20）　鍼灸備要　青山道醇.jpg")</f>
        <v>し/しょう　小児けいしょう（けいしょう）　そりかへる　角弓反張　1887（明治20）　鍼灸備要　青山道醇.jpg</v>
      </c>
    </row>
    <row r="2460" spans="1:2" x14ac:dyDescent="0.15">
      <c r="A2460" t="s">
        <v>2435</v>
      </c>
      <c r="B2460" t="str">
        <f>HYPERLINK("し/しょう　小児しん開て不合　小児雀目　小児乳癖　1594　経脈方寸秘書　曲直瀬道三.jpg")</f>
        <v>し/しょう　小児しん開て不合　小児雀目　小児乳癖　1594　経脈方寸秘書　曲直瀬道三.jpg</v>
      </c>
    </row>
    <row r="2461" spans="1:2" x14ac:dyDescent="0.15">
      <c r="A2461" t="s">
        <v>2436</v>
      </c>
      <c r="B2461" t="str">
        <f>HYPERLINK("し/しょう　小児の科　ちごのりやうじ　1718　鍼灸重宝記　本郷正豊.jpg")</f>
        <v>し/しょう　小児の科　ちごのりやうじ　1718　鍼灸重宝記　本郷正豊.jpg</v>
      </c>
    </row>
    <row r="2462" spans="1:2" x14ac:dyDescent="0.15">
      <c r="A2462" t="s">
        <v>2437</v>
      </c>
      <c r="B2462" t="str">
        <f>HYPERLINK("し/しょう　小児の脉法　1718　鍼灸重宝記　本郷正豊_ページ_1.jpg")</f>
        <v>し/しょう　小児の脉法　1718　鍼灸重宝記　本郷正豊_ページ_1.jpg</v>
      </c>
    </row>
    <row r="2463" spans="1:2" x14ac:dyDescent="0.15">
      <c r="A2463" t="s">
        <v>2438</v>
      </c>
      <c r="B2463" t="str">
        <f>HYPERLINK("し/しょう　小児の脉法　1718　鍼灸重宝記　本郷正豊_ページ_2.jpg")</f>
        <v>し/しょう　小児の脉法　1718　鍼灸重宝記　本郷正豊_ページ_2.jpg</v>
      </c>
    </row>
    <row r="2464" spans="1:2" x14ac:dyDescent="0.15">
      <c r="A2464" t="s">
        <v>2439</v>
      </c>
      <c r="B2464" t="str">
        <f>HYPERLINK("し/しょう　小児吐乳　1912年（大正01）　鍼灸手引草　久木田七郎.jpg")</f>
        <v>し/しょう　小児吐乳　1912年（大正01）　鍼灸手引草　久木田七郎.jpg</v>
      </c>
    </row>
    <row r="2465" spans="1:2" x14ac:dyDescent="0.15">
      <c r="A2465" t="s">
        <v>2440</v>
      </c>
      <c r="B2465" t="str">
        <f>HYPERLINK("し/しょう　小児夜啼（やてい）　よなき　1887（明治20）　鍼灸備要　青山道醇.jpg")</f>
        <v>し/しょう　小児夜啼（やてい）　よなき　1887（明治20）　鍼灸備要　青山道醇.jpg</v>
      </c>
    </row>
    <row r="2466" spans="1:2" x14ac:dyDescent="0.15">
      <c r="A2466" t="s">
        <v>2441</v>
      </c>
      <c r="B2466" t="str">
        <f>HYPERLINK("し/しょう　小児悪瘡入眼者　成書年未詳　灸穴集　著者未詳.jpg")</f>
        <v>し/しょう　小児悪瘡入眼者　成書年未詳　灸穴集　著者未詳.jpg</v>
      </c>
    </row>
    <row r="2467" spans="1:2" x14ac:dyDescent="0.15">
      <c r="A2467" t="s">
        <v>2442</v>
      </c>
      <c r="B2467" t="str">
        <f>HYPERLINK("し/しょう　小児新生禁　1693　鍼灸要歌集　安井昌玄.jpg")</f>
        <v>し/しょう　小児新生禁　1693　鍼灸要歌集　安井昌玄.jpg</v>
      </c>
    </row>
    <row r="2468" spans="1:2" x14ac:dyDescent="0.15">
      <c r="A2468" t="s">
        <v>2443</v>
      </c>
      <c r="B2468" t="str">
        <f>HYPERLINK("し/しょう　小児死する者の見様の事　1694　療治之大概集　杉山和一.jpg")</f>
        <v>し/しょう　小児死する者の見様の事　1694　療治之大概集　杉山和一.jpg</v>
      </c>
    </row>
    <row r="2469" spans="1:2" x14ac:dyDescent="0.15">
      <c r="A2469" t="s">
        <v>2444</v>
      </c>
      <c r="B2469" t="str">
        <f>HYPERLINK("し/しょう　小児瀉泄　くだりはら　腸加多児（カタル）　1887（明治20）　鍼灸備要　青山道醇.jpg")</f>
        <v>し/しょう　小児瀉泄　くだりはら　腸加多児（カタル）　1887（明治20）　鍼灸備要　青山道醇.jpg</v>
      </c>
    </row>
    <row r="2470" spans="1:2" x14ac:dyDescent="0.15">
      <c r="A2470" t="s">
        <v>2445</v>
      </c>
      <c r="B2470" t="str">
        <f>HYPERLINK("し/しょう　小児灸法要穴并鍼之要穴　1693　鍼灸要歌集　安井昌玄.jpg")</f>
        <v>し/しょう　小児灸法要穴并鍼之要穴　1693　鍼灸要歌集　安井昌玄.jpg</v>
      </c>
    </row>
    <row r="2471" spans="1:2" x14ac:dyDescent="0.15">
      <c r="A2471" t="s">
        <v>2446</v>
      </c>
      <c r="B2471" t="str">
        <f>HYPERLINK("し/しょう　小児疳痩　1563　鍼灸集要　曲直瀬道三.jpg")</f>
        <v>し/しょう　小児疳痩　1563　鍼灸集要　曲直瀬道三.jpg</v>
      </c>
    </row>
    <row r="2472" spans="1:2" x14ac:dyDescent="0.15">
      <c r="A2472" t="s">
        <v>2447</v>
      </c>
      <c r="B2472" t="str">
        <f>HYPERLINK("し/しょう　小児病　0650　千金方　孫思ばく_ページ_1.jpg")</f>
        <v>し/しょう　小児病　0650　千金方　孫思ばく_ページ_1.jpg</v>
      </c>
    </row>
    <row r="2473" spans="1:2" x14ac:dyDescent="0.15">
      <c r="A2473" t="s">
        <v>2448</v>
      </c>
      <c r="B2473" t="str">
        <f>HYPERLINK("し/しょう　小児病　0650　千金方　孫思ばく_ページ_2.jpg")</f>
        <v>し/しょう　小児病　0650　千金方　孫思ばく_ページ_2.jpg</v>
      </c>
    </row>
    <row r="2474" spans="1:2" x14ac:dyDescent="0.15">
      <c r="A2474" t="s">
        <v>2449</v>
      </c>
      <c r="B2474" t="str">
        <f>HYPERLINK("し/しょう　小児病　1624　類経図翼　明・張介賓_ページ_1.jpg")</f>
        <v>し/しょう　小児病　1624　類経図翼　明・張介賓_ページ_1.jpg</v>
      </c>
    </row>
    <row r="2475" spans="1:2" x14ac:dyDescent="0.15">
      <c r="A2475" t="s">
        <v>2450</v>
      </c>
      <c r="B2475" t="str">
        <f>HYPERLINK("し/しょう　小児病　1624　類経図翼　明・張介賓_ページ_2.jpg")</f>
        <v>し/しょう　小児病　1624　類経図翼　明・張介賓_ページ_2.jpg</v>
      </c>
    </row>
    <row r="2476" spans="1:2" x14ac:dyDescent="0.15">
      <c r="A2476" t="s">
        <v>2451</v>
      </c>
      <c r="B2476" t="str">
        <f>HYPERLINK("し/しょう　小児病　1624　類経図翼　明・張介賓_ページ_3.jpg")</f>
        <v>し/しょう　小児病　1624　類経図翼　明・張介賓_ページ_3.jpg</v>
      </c>
    </row>
    <row r="2477" spans="1:2" x14ac:dyDescent="0.15">
      <c r="A2477" t="s">
        <v>2452</v>
      </c>
      <c r="B2477" t="str">
        <f>HYPERLINK("し/しょう　小児病　1624　類経図翼　明・張介賓_ページ_4.jpg")</f>
        <v>し/しょう　小児病　1624　類経図翼　明・張介賓_ページ_4.jpg</v>
      </c>
    </row>
    <row r="2478" spans="1:2" x14ac:dyDescent="0.15">
      <c r="A2478" t="s">
        <v>2453</v>
      </c>
      <c r="B2478" t="str">
        <f>HYPERLINK("し/しょう　小児病　1624　類経図翼　明・張介賓_ページ_5.jpg")</f>
        <v>し/しょう　小児病　1624　類経図翼　明・張介賓_ページ_5.jpg</v>
      </c>
    </row>
    <row r="2479" spans="1:2" x14ac:dyDescent="0.15">
      <c r="A2479" t="s">
        <v>2454</v>
      </c>
      <c r="B2479" t="str">
        <f>HYPERLINK("し/しょう　小児病　1624　類経図翼　明・張介賓_ページ_6.jpg")</f>
        <v>し/しょう　小児病　1624　類経図翼　明・張介賓_ページ_6.jpg</v>
      </c>
    </row>
    <row r="2480" spans="1:2" x14ac:dyDescent="0.15">
      <c r="A2480" t="s">
        <v>2455</v>
      </c>
      <c r="B2480" t="str">
        <f>HYPERLINK("し/しょう　小児病　1624　類経図翼　明・張介賓_ページ_7.jpg")</f>
        <v>し/しょう　小児病　1624　類経図翼　明・張介賓_ページ_7.jpg</v>
      </c>
    </row>
    <row r="2481" spans="1:2" x14ac:dyDescent="0.15">
      <c r="A2481" t="s">
        <v>2456</v>
      </c>
      <c r="B2481" t="str">
        <f>HYPERLINK("し/しょう　小児病　1624　類経図翼　明・張介賓_ページ_8.jpg")</f>
        <v>し/しょう　小児病　1624　類経図翼　明・張介賓_ページ_8.jpg</v>
      </c>
    </row>
    <row r="2482" spans="1:2" x14ac:dyDescent="0.15">
      <c r="A2482" t="s">
        <v>2457</v>
      </c>
      <c r="B2482" t="str">
        <f>HYPERLINK("し/しょう　小児病　1761　挨穴捷径　杉原敦_ページ_1.jpg")</f>
        <v>し/しょう　小児病　1761　挨穴捷径　杉原敦_ページ_1.jpg</v>
      </c>
    </row>
    <row r="2483" spans="1:2" x14ac:dyDescent="0.15">
      <c r="A2483" t="s">
        <v>2458</v>
      </c>
      <c r="B2483" t="str">
        <f>HYPERLINK("し/しょう　小児病　1761　挨穴捷径　杉原敦_ページ_2.jpg")</f>
        <v>し/しょう　小児病　1761　挨穴捷径　杉原敦_ページ_2.jpg</v>
      </c>
    </row>
    <row r="2484" spans="1:2" x14ac:dyDescent="0.15">
      <c r="A2484" t="s">
        <v>2459</v>
      </c>
      <c r="B2484" t="str">
        <f>HYPERLINK("し/しょう　小児病　1761　挨穴捷径　杉原敦_ページ_3.jpg")</f>
        <v>し/しょう　小児病　1761　挨穴捷径　杉原敦_ページ_3.jpg</v>
      </c>
    </row>
    <row r="2485" spans="1:2" x14ac:dyDescent="0.15">
      <c r="A2485" t="s">
        <v>2460</v>
      </c>
      <c r="B2485" t="str">
        <f>HYPERLINK("し/しょう　小児病　1761　挨穴捷径　杉原敦_ページ_4.jpg")</f>
        <v>し/しょう　小児病　1761　挨穴捷径　杉原敦_ページ_4.jpg</v>
      </c>
    </row>
    <row r="2486" spans="1:2" x14ac:dyDescent="0.15">
      <c r="A2486" t="s">
        <v>2461</v>
      </c>
      <c r="B2486" t="str">
        <f>HYPERLINK("し/しょう　小児病　1761　挨穴捷径　杉原敦_ページ_5.jpg")</f>
        <v>し/しょう　小児病　1761　挨穴捷径　杉原敦_ページ_5.jpg</v>
      </c>
    </row>
    <row r="2487" spans="1:2" x14ac:dyDescent="0.15">
      <c r="A2487" t="s">
        <v>2462</v>
      </c>
      <c r="B2487" t="str">
        <f>HYPERLINK("し/しょう　小児癖気　1594　鍼灸集要　曲直瀬道三_ページ_1.jpg")</f>
        <v>し/しょう　小児癖気　1594　鍼灸集要　曲直瀬道三_ページ_1.jpg</v>
      </c>
    </row>
    <row r="2488" spans="1:2" x14ac:dyDescent="0.15">
      <c r="A2488" t="s">
        <v>2463</v>
      </c>
      <c r="B2488" t="str">
        <f>HYPERLINK("し/しょう　小児癖気　1594　鍼灸集要　曲直瀬道三_ページ_2.jpg")</f>
        <v>し/しょう　小児癖気　1594　鍼灸集要　曲直瀬道三_ページ_2.jpg</v>
      </c>
    </row>
    <row r="2489" spans="1:2" x14ac:dyDescent="0.15">
      <c r="A2489" t="s">
        <v>2464</v>
      </c>
      <c r="B2489" t="str">
        <f>HYPERLINK("し/しょう　小児癲癇　1594　鍼灸集要　曲直瀬道三.jpg")</f>
        <v>し/しょう　小児癲癇　1594　鍼灸集要　曲直瀬道三.jpg</v>
      </c>
    </row>
    <row r="2490" spans="1:2" x14ac:dyDescent="0.15">
      <c r="A2490" t="s">
        <v>2465</v>
      </c>
      <c r="B2490" t="str">
        <f>HYPERLINK("し/しょう　小児科　1773　鍼灸手引草　大簡室主人_ページ_1.jpg")</f>
        <v>し/しょう　小児科　1773　鍼灸手引草　大簡室主人_ページ_1.jpg</v>
      </c>
    </row>
    <row r="2491" spans="1:2" x14ac:dyDescent="0.15">
      <c r="A2491" t="s">
        <v>2466</v>
      </c>
      <c r="B2491" t="str">
        <f>HYPERLINK("し/しょう　小児科　1773　鍼灸手引草　大簡室主人_ページ_2.jpg")</f>
        <v>し/しょう　小児科　1773　鍼灸手引草　大簡室主人_ページ_2.jpg</v>
      </c>
    </row>
    <row r="2492" spans="1:2" x14ac:dyDescent="0.15">
      <c r="A2492" t="s">
        <v>2467</v>
      </c>
      <c r="B2492" t="str">
        <f>HYPERLINK("し/しょう　小児科　1773　鍼灸手引草　大簡室主人_ページ_3.jpg")</f>
        <v>し/しょう　小児科　1773　鍼灸手引草　大簡室主人_ページ_3.jpg</v>
      </c>
    </row>
    <row r="2493" spans="1:2" x14ac:dyDescent="0.15">
      <c r="A2493" t="s">
        <v>2468</v>
      </c>
      <c r="B2493" t="str">
        <f>HYPERLINK("し/しょう　小児科　1773　鍼灸手引草　大簡室主人_ページ_4.jpg")</f>
        <v>し/しょう　小児科　1773　鍼灸手引草　大簡室主人_ページ_4.jpg</v>
      </c>
    </row>
    <row r="2494" spans="1:2" x14ac:dyDescent="0.15">
      <c r="A2494" t="s">
        <v>2469</v>
      </c>
      <c r="B2494" t="str">
        <f>HYPERLINK("し/しょう　小児科　1773　鍼灸手引草　大簡室主人_ページ_5.jpg")</f>
        <v>し/しょう　小児科　1773　鍼灸手引草　大簡室主人_ページ_5.jpg</v>
      </c>
    </row>
    <row r="2495" spans="1:2" x14ac:dyDescent="0.15">
      <c r="A2495" t="s">
        <v>2470</v>
      </c>
      <c r="B2495" t="str">
        <f>HYPERLINK("し/しょう　小児科　1773　鍼灸手引草　大簡室主人_ページ_6.jpg")</f>
        <v>し/しょう　小児科　1773　鍼灸手引草　大簡室主人_ページ_6.jpg</v>
      </c>
    </row>
    <row r="2496" spans="1:2" x14ac:dyDescent="0.15">
      <c r="A2496" t="s">
        <v>2471</v>
      </c>
      <c r="B2496" t="str">
        <f>HYPERLINK("し/しょう　小児科　1773　鍼灸手引草　大簡室主人_ページ_7.jpg")</f>
        <v>し/しょう　小児科　1773　鍼灸手引草　大簡室主人_ページ_7.jpg</v>
      </c>
    </row>
    <row r="2497" spans="1:2" x14ac:dyDescent="0.15">
      <c r="A2497" t="s">
        <v>2472</v>
      </c>
      <c r="B2497" t="str">
        <f>HYPERLINK("し/しょう　小児科　1773　鍼灸手引草　大簡室主人_ページ_8.jpg")</f>
        <v>し/しょう　小児科　1773　鍼灸手引草　大簡室主人_ページ_8.jpg</v>
      </c>
    </row>
    <row r="2498" spans="1:2" x14ac:dyDescent="0.15">
      <c r="A2498" t="s">
        <v>2473</v>
      </c>
      <c r="B2498" t="str">
        <f>HYPERLINK("し/しょう　小児科　1773　鍼灸手引草　大簡室主人_ページ_9.jpg")</f>
        <v>し/しょう　小児科　1773　鍼灸手引草　大簡室主人_ページ_9.jpg</v>
      </c>
    </row>
    <row r="2499" spans="1:2" x14ac:dyDescent="0.15">
      <c r="A2499" t="s">
        <v>2474</v>
      </c>
      <c r="B2499" t="str">
        <f>HYPERLINK("し/しょう　小児脱肛　しりいつるやまひ　直腸脱　1887（明治20）　鍼灸備要　青山道醇.jpg")</f>
        <v>し/しょう　小児脱肛　しりいつるやまひ　直腸脱　1887（明治20）　鍼灸備要　青山道醇.jpg</v>
      </c>
    </row>
    <row r="2500" spans="1:2" x14ac:dyDescent="0.15">
      <c r="A2500" t="s">
        <v>2475</v>
      </c>
      <c r="B2500" t="str">
        <f>HYPERLINK("し/しょう　小児蛔虫及肝癖　1800　岡田流鍼術書　岡田見龍_ページ_1.jpg")</f>
        <v>し/しょう　小児蛔虫及肝癖　1800　岡田流鍼術書　岡田見龍_ページ_1.jpg</v>
      </c>
    </row>
    <row r="2501" spans="1:2" x14ac:dyDescent="0.15">
      <c r="A2501" t="s">
        <v>2476</v>
      </c>
      <c r="B2501" t="str">
        <f>HYPERLINK("し/しょう　小児蛔虫及肝癖　1800　岡田流鍼術書　岡田見龍_ページ_2.jpg")</f>
        <v>し/しょう　小児蛔虫及肝癖　1800　岡田流鍼術書　岡田見龍_ページ_2.jpg</v>
      </c>
    </row>
    <row r="2502" spans="1:2" x14ac:dyDescent="0.15">
      <c r="A2502" t="s">
        <v>2477</v>
      </c>
      <c r="B2502" t="str">
        <f>HYPERLINK("し/しょう　小児諸証　1574　兪穴参伍的法　秦宗巴_ページ_1.jpg")</f>
        <v>し/しょう　小児諸証　1574　兪穴参伍的法　秦宗巴_ページ_1.jpg</v>
      </c>
    </row>
    <row r="2503" spans="1:2" x14ac:dyDescent="0.15">
      <c r="A2503" t="s">
        <v>2478</v>
      </c>
      <c r="B2503" t="str">
        <f>HYPERLINK("し/しょう　小児諸証　1574　兪穴参伍的法　秦宗巴_ページ_2.jpg")</f>
        <v>し/しょう　小児諸証　1574　兪穴参伍的法　秦宗巴_ページ_2.jpg</v>
      </c>
    </row>
    <row r="2504" spans="1:2" x14ac:dyDescent="0.15">
      <c r="A2504" t="s">
        <v>2479</v>
      </c>
      <c r="B2504" t="str">
        <f>HYPERLINK("し/しょう　小児遺尿　ねしやうべん　遺尿　1887（明治20）　鍼灸備要　青山道醇.jpg")</f>
        <v>し/しょう　小児遺尿　ねしやうべん　遺尿　1887（明治20）　鍼灸備要　青山道醇.jpg</v>
      </c>
    </row>
    <row r="2505" spans="1:2" x14ac:dyDescent="0.15">
      <c r="A2505" t="s">
        <v>2480</v>
      </c>
      <c r="B2505" t="str">
        <f>HYPERLINK("し/しょう　小児部　1425　神応経　明・陳会撰・劉瑾重校_ページ_1.jpg")</f>
        <v>し/しょう　小児部　1425　神応経　明・陳会撰・劉瑾重校_ページ_1.jpg</v>
      </c>
    </row>
    <row r="2506" spans="1:2" x14ac:dyDescent="0.15">
      <c r="A2506" t="s">
        <v>2481</v>
      </c>
      <c r="B2506" t="str">
        <f>HYPERLINK("し/しょう　小児部　1425　神応経　明・陳会撰・劉瑾重校_ページ_2.jpg")</f>
        <v>し/しょう　小児部　1425　神応経　明・陳会撰・劉瑾重校_ページ_2.jpg</v>
      </c>
    </row>
    <row r="2507" spans="1:2" x14ac:dyDescent="0.15">
      <c r="A2507" t="s">
        <v>2482</v>
      </c>
      <c r="B2507" t="str">
        <f>HYPERLINK("し/しょう　小児部　1425　神応経　明・陳会撰・劉瑾重校_ページ_3.jpg")</f>
        <v>し/しょう　小児部　1425　神応経　明・陳会撰・劉瑾重校_ページ_3.jpg</v>
      </c>
    </row>
    <row r="2508" spans="1:2" x14ac:dyDescent="0.15">
      <c r="A2508" t="s">
        <v>2483</v>
      </c>
      <c r="B2508" t="str">
        <f>HYPERLINK("し/しょう　小児門　幼き児の病を聚め書くなり　1694　療治之大概集　杉山和一.jpg")</f>
        <v>し/しょう　小児門　幼き児の病を聚め書くなり　1694　療治之大概集　杉山和一.jpg</v>
      </c>
    </row>
    <row r="2509" spans="1:2" x14ac:dyDescent="0.15">
      <c r="A2509" t="s">
        <v>2484</v>
      </c>
      <c r="B2509" t="str">
        <f>HYPERLINK("し/しょう　小児雑病　1698　鍼灸抜粋大成　岡本一抱.jpg")</f>
        <v>し/しょう　小児雑病　1698　鍼灸抜粋大成　岡本一抱.jpg</v>
      </c>
    </row>
    <row r="2510" spans="1:2" x14ac:dyDescent="0.15">
      <c r="A2510" t="s">
        <v>2485</v>
      </c>
      <c r="B2510" t="str">
        <f>HYPERLINK("し/しょう　小児雑症　1807　続名家灸選　平井庸信_ページ_1.jpg")</f>
        <v>し/しょう　小児雑症　1807　続名家灸選　平井庸信_ページ_1.jpg</v>
      </c>
    </row>
    <row r="2511" spans="1:2" x14ac:dyDescent="0.15">
      <c r="A2511" t="s">
        <v>2486</v>
      </c>
      <c r="B2511" t="str">
        <f>HYPERLINK("し/しょう　小児雑症　1807　続名家灸選　平井庸信_ページ_2.jpg")</f>
        <v>し/しょう　小児雑症　1807　続名家灸選　平井庸信_ページ_2.jpg</v>
      </c>
    </row>
    <row r="2512" spans="1:2" x14ac:dyDescent="0.15">
      <c r="A2512" t="s">
        <v>2487</v>
      </c>
      <c r="B2512" t="str">
        <f>HYPERLINK("し/しょう　小児雑症　1807　続名家灸選　平井庸信_ページ_3.jpg")</f>
        <v>し/しょう　小児雑症　1807　続名家灸選　平井庸信_ページ_3.jpg</v>
      </c>
    </row>
    <row r="2513" spans="1:2" x14ac:dyDescent="0.15">
      <c r="A2513" t="s">
        <v>2488</v>
      </c>
      <c r="B2513" t="str">
        <f>HYPERLINK("し/しょう　小児雑症　1813　名家灸選三編　平井庸信_ページ_1.jpg")</f>
        <v>し/しょう　小児雑症　1813　名家灸選三編　平井庸信_ページ_1.jpg</v>
      </c>
    </row>
    <row r="2514" spans="1:2" x14ac:dyDescent="0.15">
      <c r="A2514" t="s">
        <v>2489</v>
      </c>
      <c r="B2514" t="str">
        <f>HYPERLINK("し/しょう　小児雑症　1813　名家灸選三編　平井庸信_ページ_2.jpg")</f>
        <v>し/しょう　小児雑症　1813　名家灸選三編　平井庸信_ページ_2.jpg</v>
      </c>
    </row>
    <row r="2515" spans="1:2" x14ac:dyDescent="0.15">
      <c r="A2515" t="s">
        <v>2490</v>
      </c>
      <c r="B2515" t="str">
        <f>HYPERLINK("し/しょう　小児雑症　1813　名家灸選三編　平井庸信_ページ_3.jpg")</f>
        <v>し/しょう　小児雑症　1813　名家灸選三編　平井庸信_ページ_3.jpg</v>
      </c>
    </row>
    <row r="2516" spans="1:2" x14ac:dyDescent="0.15">
      <c r="A2516" t="s">
        <v>2491</v>
      </c>
      <c r="B2516" t="str">
        <f>HYPERLINK("し/しょう　小児雑症　1813　名家灸選三編　平井庸信_ページ_4.jpg")</f>
        <v>し/しょう　小児雑症　1813　名家灸選三編　平井庸信_ページ_4.jpg</v>
      </c>
    </row>
    <row r="2517" spans="1:2" x14ac:dyDescent="0.15">
      <c r="A2517" t="s">
        <v>2492</v>
      </c>
      <c r="B2517" t="str">
        <f>HYPERLINK("し/しょう　小水不禁　1537　鍼灸聚英　明・高武.jpg")</f>
        <v>し/しょう　小水不禁　1537　鍼灸聚英　明・高武.jpg</v>
      </c>
    </row>
    <row r="2518" spans="1:2" x14ac:dyDescent="0.15">
      <c r="A2518" t="s">
        <v>2493</v>
      </c>
      <c r="B2518" t="str">
        <f>HYPERLINK("し/しょう　小水不禁　1563　鍼灸集要　曲直瀬道三.jpg")</f>
        <v>し/しょう　小水不禁　1563　鍼灸集要　曲直瀬道三.jpg</v>
      </c>
    </row>
    <row r="2519" spans="1:2" x14ac:dyDescent="0.15">
      <c r="A2519" t="s">
        <v>2494</v>
      </c>
      <c r="B2519" t="str">
        <f>HYPERLINK("し/しょう　小産　1686　鍼灸要法指南　岩田利斎.jpg")</f>
        <v>し/しょう　小産　1686　鍼灸要法指南　岩田利斎.jpg</v>
      </c>
    </row>
    <row r="2520" spans="1:2" x14ac:dyDescent="0.15">
      <c r="A2520" t="s">
        <v>2495</v>
      </c>
      <c r="B2520" t="str">
        <f>HYPERLINK("し/しょう　小産　1693　鍼灸要歌集　安井昌玄_ページ_1.jpg")</f>
        <v>し/しょう　小産　1693　鍼灸要歌集　安井昌玄_ページ_1.jpg</v>
      </c>
    </row>
    <row r="2521" spans="1:2" x14ac:dyDescent="0.15">
      <c r="A2521" t="s">
        <v>2496</v>
      </c>
      <c r="B2521" t="str">
        <f>HYPERLINK("し/しょう　小産　1693　鍼灸要歌集　安井昌玄_ページ_2.jpg")</f>
        <v>し/しょう　小産　1693　鍼灸要歌集　安井昌玄_ページ_2.jpg</v>
      </c>
    </row>
    <row r="2522" spans="1:2" x14ac:dyDescent="0.15">
      <c r="A2522" t="s">
        <v>2497</v>
      </c>
      <c r="B2522" t="str">
        <f>HYPERLINK("し/しょう　小腸気　1226　備急灸法　宋・聞人耆年.jpg")</f>
        <v>し/しょう　小腸気　1226　備急灸法　宋・聞人耆年.jpg</v>
      </c>
    </row>
    <row r="2523" spans="1:2" x14ac:dyDescent="0.15">
      <c r="A2523" t="s">
        <v>2498</v>
      </c>
      <c r="B2523" t="str">
        <f>HYPERLINK("し/しょう　小腸気　1315　鍼経摘英集　元・杜思敬「済生抜粋方」_ページ_1.jpg")</f>
        <v>し/しょう　小腸気　1315　鍼経摘英集　元・杜思敬「済生抜粋方」_ページ_1.jpg</v>
      </c>
    </row>
    <row r="2524" spans="1:2" x14ac:dyDescent="0.15">
      <c r="A2524" t="s">
        <v>2499</v>
      </c>
      <c r="B2524" t="str">
        <f>HYPERLINK("し/しょう　小腸気　1315　鍼経摘英集　元・杜思敬「済生抜粋方」_ページ_2.jpg")</f>
        <v>し/しょう　小腸気　1315　鍼経摘英集　元・杜思敬「済生抜粋方」_ページ_2.jpg</v>
      </c>
    </row>
    <row r="2525" spans="1:2" x14ac:dyDescent="0.15">
      <c r="A2525" t="s">
        <v>2500</v>
      </c>
      <c r="B2525" t="str">
        <f>HYPERLINK("し/しょう　小腸疝気連腹痛　1329　扁鵲神応鍼灸玉龍経　元・王国瑞.jpg")</f>
        <v>し/しょう　小腸疝気連腹痛　1329　扁鵲神応鍼灸玉龍経　元・王国瑞.jpg</v>
      </c>
    </row>
    <row r="2526" spans="1:2" x14ac:dyDescent="0.15">
      <c r="A2526" t="s">
        <v>2501</v>
      </c>
      <c r="B2526" t="str">
        <f>HYPERLINK("し/しょう　小腹満　1537　鍼灸聚英　明・高武.jpg")</f>
        <v>し/しょう　小腹満　1537　鍼灸聚英　明・高武.jpg</v>
      </c>
    </row>
    <row r="2527" spans="1:2" x14ac:dyDescent="0.15">
      <c r="A2527" t="s">
        <v>2502</v>
      </c>
      <c r="B2527" t="str">
        <f>HYPERLINK("し/しょう　小腹疼痛不可忍者　1315　鍼経摘英集　元・杜思敬「済生抜粋方」.jpg")</f>
        <v>し/しょう　小腹疼痛不可忍者　1315　鍼経摘英集　元・杜思敬「済生抜粋方」.jpg</v>
      </c>
    </row>
    <row r="2528" spans="1:2" x14ac:dyDescent="0.15">
      <c r="A2528" t="s">
        <v>2503</v>
      </c>
      <c r="B2528" t="str">
        <f>HYPERLINK("し/しょう　小腹痛　1220　鍼灸資生経　王執中_ページ_1.jpg")</f>
        <v>し/しょう　小腹痛　1220　鍼灸資生経　王執中_ページ_1.jpg</v>
      </c>
    </row>
    <row r="2529" spans="1:2" x14ac:dyDescent="0.15">
      <c r="A2529" t="s">
        <v>2504</v>
      </c>
      <c r="B2529" t="str">
        <f>HYPERLINK("し/しょう　小腹痛　1220　鍼灸資生経　王執中_ページ_2.jpg")</f>
        <v>し/しょう　小腹痛　1220　鍼灸資生経　王執中_ページ_2.jpg</v>
      </c>
    </row>
    <row r="2530" spans="1:2" x14ac:dyDescent="0.15">
      <c r="A2530" t="s">
        <v>2505</v>
      </c>
      <c r="B2530" t="str">
        <f>HYPERLINK("し/しょう　小腹痛及小腹脹満　1912年（大正01）　鍼灸手引草　久木田七郎.jpg")</f>
        <v>し/しょう　小腹痛及小腹脹満　1912年（大正01）　鍼灸手引草　久木田七郎.jpg</v>
      </c>
    </row>
    <row r="2531" spans="1:2" x14ac:dyDescent="0.15">
      <c r="A2531" t="s">
        <v>2506</v>
      </c>
      <c r="B2531" t="str">
        <f>HYPERLINK("し/しょう　小腹脹満　1220　鍼灸資生経　王執中.jpg")</f>
        <v>し/しょう　小腹脹満　1220　鍼灸資生経　王執中.jpg</v>
      </c>
    </row>
    <row r="2532" spans="1:2" x14ac:dyDescent="0.15">
      <c r="A2532" t="s">
        <v>2507</v>
      </c>
      <c r="B2532" t="str">
        <f>HYPERLINK("し/しょう　少気　1220　鍼灸資生経　王執中_ページ_1.jpg")</f>
        <v>し/しょう　少気　1220　鍼灸資生経　王執中_ページ_1.jpg</v>
      </c>
    </row>
    <row r="2533" spans="1:2" x14ac:dyDescent="0.15">
      <c r="A2533" t="s">
        <v>2508</v>
      </c>
      <c r="B2533" t="str">
        <f>HYPERLINK("し/しょう　少気　1220　鍼灸資生経　王執中_ページ_2.jpg")</f>
        <v>し/しょう　少気　1220　鍼灸資生経　王執中_ページ_2.jpg</v>
      </c>
    </row>
    <row r="2534" spans="1:2" x14ac:dyDescent="0.15">
      <c r="A2534" t="s">
        <v>2509</v>
      </c>
      <c r="B2534" t="str">
        <f>HYPERLINK("し/しょう　少腹腫不得小便　0300　●三焦膀胱受病発少腹腫不得小便　第九　鍼灸甲乙経　皇甫謐_ページ_1.jpg")</f>
        <v>し/しょう　少腹腫不得小便　0300　●三焦膀胱受病発少腹腫不得小便　第九　鍼灸甲乙経　皇甫謐_ページ_1.jpg</v>
      </c>
    </row>
    <row r="2535" spans="1:2" x14ac:dyDescent="0.15">
      <c r="A2535" t="s">
        <v>2510</v>
      </c>
      <c r="B2535" t="str">
        <f>HYPERLINK("し/しょう　少腹腫不得小便　0300　●三焦膀胱受病発少腹腫不得小便　第九　鍼灸甲乙経　皇甫謐_ページ_2.jpg")</f>
        <v>し/しょう　少腹腫不得小便　0300　●三焦膀胱受病発少腹腫不得小便　第九　鍼灸甲乙経　皇甫謐_ページ_2.jpg</v>
      </c>
    </row>
    <row r="2536" spans="1:2" x14ac:dyDescent="0.15">
      <c r="A2536" t="s">
        <v>2511</v>
      </c>
      <c r="B2536" t="str">
        <f>HYPERLINK("し/しょう　消渇　0650　千金方　孫思ばく.jpg")</f>
        <v>し/しょう　消渇　0650　千金方　孫思ばく.jpg</v>
      </c>
    </row>
    <row r="2537" spans="1:2" x14ac:dyDescent="0.15">
      <c r="A2537" t="s">
        <v>2512</v>
      </c>
      <c r="B2537" t="str">
        <f>HYPERLINK("し/しょう　消渇　1220　鍼灸資生経　王執中_ページ_1.jpg")</f>
        <v>し/しょう　消渇　1220　鍼灸資生経　王執中_ページ_1.jpg</v>
      </c>
    </row>
    <row r="2538" spans="1:2" x14ac:dyDescent="0.15">
      <c r="A2538" t="s">
        <v>2513</v>
      </c>
      <c r="B2538" t="str">
        <f>HYPERLINK("し/しょう　消渇　1220　鍼灸資生経　王執中_ページ_2.jpg")</f>
        <v>し/しょう　消渇　1220　鍼灸資生経　王執中_ページ_2.jpg</v>
      </c>
    </row>
    <row r="2539" spans="1:2" x14ac:dyDescent="0.15">
      <c r="A2539" t="s">
        <v>2514</v>
      </c>
      <c r="B2539" t="str">
        <f>HYPERLINK("し/しょう　消渇　1563　鍼灸集要　曲直瀬道三.jpg")</f>
        <v>し/しょう　消渇　1563　鍼灸集要　曲直瀬道三.jpg</v>
      </c>
    </row>
    <row r="2540" spans="1:2" x14ac:dyDescent="0.15">
      <c r="A2540" t="s">
        <v>2515</v>
      </c>
      <c r="B2540" t="str">
        <f>HYPERLINK("し/しょう　消渇　1607　扁鵲新流鍼書　越齋寿閑_ページ_1.jpg")</f>
        <v>し/しょう　消渇　1607　扁鵲新流鍼書　越齋寿閑_ページ_1.jpg</v>
      </c>
    </row>
    <row r="2541" spans="1:2" x14ac:dyDescent="0.15">
      <c r="A2541" t="s">
        <v>2516</v>
      </c>
      <c r="B2541" t="str">
        <f>HYPERLINK("し/しょう　消渇　1607　扁鵲新流鍼書　越齋寿閑_ページ_2.jpg")</f>
        <v>し/しょう　消渇　1607　扁鵲新流鍼書　越齋寿閑_ページ_2.jpg</v>
      </c>
    </row>
    <row r="2542" spans="1:2" x14ac:dyDescent="0.15">
      <c r="A2542" t="s">
        <v>2517</v>
      </c>
      <c r="B2542" t="str">
        <f>HYPERLINK("し/しょう　消渇　1624　類経図翼　明・張介賓.jpg")</f>
        <v>し/しょう　消渇　1624　類経図翼　明・張介賓.jpg</v>
      </c>
    </row>
    <row r="2543" spans="1:2" x14ac:dyDescent="0.15">
      <c r="A2543" t="s">
        <v>2518</v>
      </c>
      <c r="B2543" t="str">
        <f>HYPERLINK("し/しょう　消渇　1669　鍼灸枢要　山本玄通_ページ_1.jpg")</f>
        <v>し/しょう　消渇　1669　鍼灸枢要　山本玄通_ページ_1.jpg</v>
      </c>
    </row>
    <row r="2544" spans="1:2" x14ac:dyDescent="0.15">
      <c r="A2544" t="s">
        <v>2519</v>
      </c>
      <c r="B2544" t="str">
        <f>HYPERLINK("し/しょう　消渇　1669　鍼灸枢要　山本玄通_ページ_2.jpg")</f>
        <v>し/しょう　消渇　1669　鍼灸枢要　山本玄通_ページ_2.jpg</v>
      </c>
    </row>
    <row r="2545" spans="1:2" x14ac:dyDescent="0.15">
      <c r="A2545" t="s">
        <v>2520</v>
      </c>
      <c r="B2545" t="str">
        <f>HYPERLINK("し/しょう　消渇　1669　鍼灸枢要　山本玄通_ページ_3.jpg")</f>
        <v>し/しょう　消渇　1669　鍼灸枢要　山本玄通_ページ_3.jpg</v>
      </c>
    </row>
    <row r="2546" spans="1:2" x14ac:dyDescent="0.15">
      <c r="A2546" t="s">
        <v>2521</v>
      </c>
      <c r="B2546" t="str">
        <f>HYPERLINK("し/しょう　消渇　1669　鍼灸枢要　山本玄通_ページ_4.jpg")</f>
        <v>し/しょう　消渇　1669　鍼灸枢要　山本玄通_ページ_4.jpg</v>
      </c>
    </row>
    <row r="2547" spans="1:2" x14ac:dyDescent="0.15">
      <c r="A2547" t="s">
        <v>2522</v>
      </c>
      <c r="B2547" t="str">
        <f>HYPERLINK("し/しょう　消渇　1669　鍼灸枢要　山本玄通_ページ_5.jpg")</f>
        <v>し/しょう　消渇　1669　鍼灸枢要　山本玄通_ページ_5.jpg</v>
      </c>
    </row>
    <row r="2548" spans="1:2" x14ac:dyDescent="0.15">
      <c r="A2548" t="s">
        <v>2523</v>
      </c>
      <c r="B2548" t="str">
        <f>HYPERLINK("し/しょう　消渇　1669　鍼灸枢要　山本玄通_ページ_6.jpg")</f>
        <v>し/しょう　消渇　1669　鍼灸枢要　山本玄通_ページ_6.jpg</v>
      </c>
    </row>
    <row r="2549" spans="1:2" x14ac:dyDescent="0.15">
      <c r="A2549" t="s">
        <v>2524</v>
      </c>
      <c r="B2549" t="str">
        <f>HYPERLINK("し/しょう　消渇　1680　鍼灸抜萃　著者未詳.jpg")</f>
        <v>し/しょう　消渇　1680　鍼灸抜萃　著者未詳.jpg</v>
      </c>
    </row>
    <row r="2550" spans="1:2" x14ac:dyDescent="0.15">
      <c r="A2550" t="s">
        <v>2525</v>
      </c>
      <c r="B2550" t="str">
        <f>HYPERLINK("し/しょう　消渇　1686　鍼灸要法指南　岩田利斎.jpg")</f>
        <v>し/しょう　消渇　1686　鍼灸要法指南　岩田利斎.jpg</v>
      </c>
    </row>
    <row r="2551" spans="1:2" x14ac:dyDescent="0.15">
      <c r="A2551" t="s">
        <v>2526</v>
      </c>
      <c r="B2551" t="str">
        <f>HYPERLINK("し/しょう　消渇　1693　鍼灸要歌集　安井昌玄.jpg")</f>
        <v>し/しょう　消渇　1693　鍼灸要歌集　安井昌玄.jpg</v>
      </c>
    </row>
    <row r="2552" spans="1:2" x14ac:dyDescent="0.15">
      <c r="A2552" t="s">
        <v>2527</v>
      </c>
      <c r="B2552" t="str">
        <f>HYPERLINK("し/しょう　消渇　1694　選鍼三要集　杉山和一.jpg")</f>
        <v>し/しょう　消渇　1694　選鍼三要集　杉山和一.jpg</v>
      </c>
    </row>
    <row r="2553" spans="1:2" x14ac:dyDescent="0.15">
      <c r="A2553" t="s">
        <v>2528</v>
      </c>
      <c r="B2553" t="str">
        <f>HYPERLINK("し/しょう　消渇　1694　鍼灸そかい集　高津敬節_ページ_1.jpg")</f>
        <v>し/しょう　消渇　1694　鍼灸そかい集　高津敬節_ページ_1.jpg</v>
      </c>
    </row>
    <row r="2554" spans="1:2" x14ac:dyDescent="0.15">
      <c r="A2554" t="s">
        <v>2529</v>
      </c>
      <c r="B2554" t="str">
        <f>HYPERLINK("し/しょう　消渇　1694　鍼灸そかい集　高津敬節_ページ_2.jpg")</f>
        <v>し/しょう　消渇　1694　鍼灸そかい集　高津敬節_ページ_2.jpg</v>
      </c>
    </row>
    <row r="2555" spans="1:2" x14ac:dyDescent="0.15">
      <c r="A2555" t="s">
        <v>2530</v>
      </c>
      <c r="B2555" t="str">
        <f>HYPERLINK("し/しょう　消渇　1696　広益鍼灸抜萃　著者未詳_ページ_1.jpg")</f>
        <v>し/しょう　消渇　1696　広益鍼灸抜萃　著者未詳_ページ_1.jpg</v>
      </c>
    </row>
    <row r="2556" spans="1:2" x14ac:dyDescent="0.15">
      <c r="A2556" t="s">
        <v>2531</v>
      </c>
      <c r="B2556" t="str">
        <f>HYPERLINK("し/しょう　消渇　1696　広益鍼灸抜萃　著者未詳_ページ_2.jpg")</f>
        <v>し/しょう　消渇　1696　広益鍼灸抜萃　著者未詳_ページ_2.jpg</v>
      </c>
    </row>
    <row r="2557" spans="1:2" x14ac:dyDescent="0.15">
      <c r="A2557" t="s">
        <v>2532</v>
      </c>
      <c r="B2557" t="str">
        <f>HYPERLINK("し/しょう　消渇　1698　鍼灸抜粋大成　岡本一抱_ページ_1.jpg")</f>
        <v>し/しょう　消渇　1698　鍼灸抜粋大成　岡本一抱_ページ_1.jpg</v>
      </c>
    </row>
    <row r="2558" spans="1:2" x14ac:dyDescent="0.15">
      <c r="A2558" t="s">
        <v>2533</v>
      </c>
      <c r="B2558" t="str">
        <f>HYPERLINK("し/しょう　消渇　1698　鍼灸抜粋大成　岡本一抱_ページ_2.jpg")</f>
        <v>し/しょう　消渇　1698　鍼灸抜粋大成　岡本一抱_ページ_2.jpg</v>
      </c>
    </row>
    <row r="2559" spans="1:2" x14ac:dyDescent="0.15">
      <c r="A2559" t="s">
        <v>2534</v>
      </c>
      <c r="B2559" t="str">
        <f>HYPERLINK("し/しょう　消渇　1761　挨穴捷径　杉原敦.jpg")</f>
        <v>し/しょう　消渇　1761　挨穴捷径　杉原敦.jpg</v>
      </c>
    </row>
    <row r="2560" spans="1:2" x14ac:dyDescent="0.15">
      <c r="A2560" t="s">
        <v>2535</v>
      </c>
      <c r="B2560" t="str">
        <f>HYPERLINK("し/しょう　消渇　1767　鍼灸則　菅沼周桂.jpg")</f>
        <v>し/しょう　消渇　1767　鍼灸則　菅沼周桂.jpg</v>
      </c>
    </row>
    <row r="2561" spans="1:2" x14ac:dyDescent="0.15">
      <c r="A2561" t="s">
        <v>2536</v>
      </c>
      <c r="B2561" t="str">
        <f>HYPERLINK("し/しょう　消渇　1773　鍼灸手引草　大簡室主人_ページ_1.jpg")</f>
        <v>し/しょう　消渇　1773　鍼灸手引草　大簡室主人_ページ_1.jpg</v>
      </c>
    </row>
    <row r="2562" spans="1:2" x14ac:dyDescent="0.15">
      <c r="A2562" t="s">
        <v>2537</v>
      </c>
      <c r="B2562" t="str">
        <f>HYPERLINK("し/しょう　消渇　1773　鍼灸手引草　大簡室主人_ページ_2.jpg")</f>
        <v>し/しょう　消渇　1773　鍼灸手引草　大簡室主人_ページ_2.jpg</v>
      </c>
    </row>
    <row r="2563" spans="1:2" x14ac:dyDescent="0.15">
      <c r="A2563" t="s">
        <v>2538</v>
      </c>
      <c r="B2563" t="str">
        <f>HYPERLINK("し/しょう　消渇　1792　鍼法要集　源長起_ページ_1.jpg")</f>
        <v>し/しょう　消渇　1792　鍼法要集　源長起_ページ_1.jpg</v>
      </c>
    </row>
    <row r="2564" spans="1:2" x14ac:dyDescent="0.15">
      <c r="A2564" t="s">
        <v>2539</v>
      </c>
      <c r="B2564" t="str">
        <f>HYPERLINK("し/しょう　消渇　1792　鍼法要集　源長起_ページ_2.jpg")</f>
        <v>し/しょう　消渇　1792　鍼法要集　源長起_ページ_2.jpg</v>
      </c>
    </row>
    <row r="2565" spans="1:2" x14ac:dyDescent="0.15">
      <c r="A2565" t="s">
        <v>2540</v>
      </c>
      <c r="B2565" t="str">
        <f>HYPERLINK("し/しょう　消渇　1912年（大正01）　鍼灸手引草　久木田七郎.jpg")</f>
        <v>し/しょう　消渇　1912年（大正01）　鍼灸手引草　久木田七郎.jpg</v>
      </c>
    </row>
    <row r="2566" spans="1:2" x14ac:dyDescent="0.15">
      <c r="A2566" t="s">
        <v>2541</v>
      </c>
      <c r="B2566" t="str">
        <f>HYPERLINK("し/しょう　消渇　かはきのやまひ　1718　鍼灸重宝記　本郷正豊.jpg")</f>
        <v>し/しょう　消渇　かはきのやまひ　1718　鍼灸重宝記　本郷正豊.jpg</v>
      </c>
    </row>
    <row r="2567" spans="1:2" x14ac:dyDescent="0.15">
      <c r="A2567" t="s">
        <v>2542</v>
      </c>
      <c r="B2567" t="str">
        <f>HYPERLINK("し/しょう　消渇　かわきの病の事　1694　療治之大概集　杉山和一.jpg")</f>
        <v>し/しょう　消渇　かわきの病の事　1694　療治之大概集　杉山和一.jpg</v>
      </c>
    </row>
    <row r="2568" spans="1:2" x14ac:dyDescent="0.15">
      <c r="A2568" t="s">
        <v>2543</v>
      </c>
      <c r="B2568" t="str">
        <f>HYPERLINK("し/しょう　消渇　成書年未詳　灸穴集　著者未詳_ページ_1.jpg")</f>
        <v>し/しょう　消渇　成書年未詳　灸穴集　著者未詳_ページ_1.jpg</v>
      </c>
    </row>
    <row r="2569" spans="1:2" x14ac:dyDescent="0.15">
      <c r="A2569" t="s">
        <v>2544</v>
      </c>
      <c r="B2569" t="str">
        <f>HYPERLINK("し/しょう　消渇　成書年未詳　灸穴集　著者未詳_ページ_2.jpg")</f>
        <v>し/しょう　消渇　成書年未詳　灸穴集　著者未詳_ページ_2.jpg</v>
      </c>
    </row>
    <row r="2570" spans="1:2" x14ac:dyDescent="0.15">
      <c r="A2570" t="s">
        <v>2545</v>
      </c>
      <c r="B2570" t="str">
        <f>HYPERLINK("し/しょう　消渇　成書年未詳　灸穴集　著者未詳_ページ_3.jpg")</f>
        <v>し/しょう　消渇　成書年未詳　灸穴集　著者未詳_ページ_3.jpg</v>
      </c>
    </row>
    <row r="2571" spans="1:2" x14ac:dyDescent="0.15">
      <c r="A2571" t="s">
        <v>2546</v>
      </c>
      <c r="B2571" t="str">
        <f>HYPERLINK("し/しょう　消渇　成書年未詳　灸穴集　著者未詳_ページ_4.jpg")</f>
        <v>し/しょう　消渇　成書年未詳　灸穴集　著者未詳_ページ_4.jpg</v>
      </c>
    </row>
    <row r="2572" spans="1:2" x14ac:dyDescent="0.15">
      <c r="A2572" t="s">
        <v>2547</v>
      </c>
      <c r="B2572" t="str">
        <f>HYPERLINK("し/しょう　消渇病　1574　兪穴参伍的法　秦宗巴.jpg")</f>
        <v>し/しょう　消渇病　1574　兪穴参伍的法　秦宗巴.jpg</v>
      </c>
    </row>
    <row r="2573" spans="1:2" x14ac:dyDescent="0.15">
      <c r="A2573" t="s">
        <v>2548</v>
      </c>
      <c r="B2573" t="str">
        <f>HYPERLINK("し/しょう　消渇黄痺　0300　●五気溢発消渇黄痺　第六　鍼灸甲乙経　皇甫謐_ページ_1.jpg")</f>
        <v>し/しょう　消渇黄痺　0300　●五気溢発消渇黄痺　第六　鍼灸甲乙経　皇甫謐_ページ_1.jpg</v>
      </c>
    </row>
    <row r="2574" spans="1:2" x14ac:dyDescent="0.15">
      <c r="A2574" t="s">
        <v>2549</v>
      </c>
      <c r="B2574" t="str">
        <f>HYPERLINK("し/しょう　消渇黄痺　0300　●五気溢発消渇黄痺　第六　鍼灸甲乙経　皇甫謐_ページ_2.jpg")</f>
        <v>し/しょう　消渇黄痺　0300　●五気溢発消渇黄痺　第六　鍼灸甲乙経　皇甫謐_ページ_2.jpg</v>
      </c>
    </row>
    <row r="2575" spans="1:2" x14ac:dyDescent="0.15">
      <c r="A2575" t="s">
        <v>2550</v>
      </c>
      <c r="B2575" t="str">
        <f>HYPERLINK("し/しょう　消渇黄痺　0300　●五気溢発消渇黄痺　第六　鍼灸甲乙経　皇甫謐_ページ_3.jpg")</f>
        <v>し/しょう　消渇黄痺　0300　●五気溢発消渇黄痺　第六　鍼灸甲乙経　皇甫謐_ページ_3.jpg</v>
      </c>
    </row>
    <row r="2576" spans="1:2" x14ac:dyDescent="0.15">
      <c r="A2576" t="s">
        <v>2551</v>
      </c>
      <c r="B2576" t="str">
        <f>HYPERLINK("し/しょう　秘訣并小便不利　成書年未詳　灸穴集　著者未詳_ページ_1.jpg")</f>
        <v>し/しょう　秘訣并小便不利　成書年未詳　灸穴集　著者未詳_ページ_1.jpg</v>
      </c>
    </row>
    <row r="2577" spans="1:2" x14ac:dyDescent="0.15">
      <c r="A2577" t="s">
        <v>2552</v>
      </c>
      <c r="B2577" t="str">
        <f>HYPERLINK("し/しょう　秘訣并小便不利　成書年未詳　灸穴集　著者未詳_ページ_2.jpg")</f>
        <v>し/しょう　秘訣并小便不利　成書年未詳　灸穴集　著者未詳_ページ_2.jpg</v>
      </c>
    </row>
    <row r="2578" spans="1:2" x14ac:dyDescent="0.15">
      <c r="A2578" t="s">
        <v>2553</v>
      </c>
      <c r="B2578" t="str">
        <f>HYPERLINK("し/しょう　秘訣并小便不利　成書年未詳　灸穴集　著者未詳_ページ_3.jpg")</f>
        <v>し/しょう　秘訣并小便不利　成書年未詳　灸穴集　著者未詳_ページ_3.jpg</v>
      </c>
    </row>
    <row r="2579" spans="1:2" x14ac:dyDescent="0.15">
      <c r="A2579" t="s">
        <v>2554</v>
      </c>
      <c r="B2579" t="str">
        <f>HYPERLINK("し/しょう　秘訣并小便不利　成書年未詳　灸穴集　著者未詳_ページ_4.jpg")</f>
        <v>し/しょう　秘訣并小便不利　成書年未詳　灸穴集　著者未詳_ページ_4.jpg</v>
      </c>
    </row>
    <row r="2580" spans="1:2" x14ac:dyDescent="0.15">
      <c r="A2580" t="s">
        <v>2555</v>
      </c>
      <c r="B2580" t="str">
        <f>HYPERLINK("し/しょう　秘訣并小便不利　成書年未詳　灸穴集　著者未詳_ページ_5.jpg")</f>
        <v>し/しょう　秘訣并小便不利　成書年未詳　灸穴集　著者未詳_ページ_5.jpg</v>
      </c>
    </row>
    <row r="2581" spans="1:2" x14ac:dyDescent="0.15">
      <c r="A2581" t="s">
        <v>2556</v>
      </c>
      <c r="B2581" t="str">
        <f>HYPERLINK("し/しょう　秘訣并小便不利　成書年未詳　灸穴集　著者未詳_ページ_6.jpg")</f>
        <v>し/しょう　秘訣并小便不利　成書年未詳　灸穴集　著者未詳_ページ_6.jpg</v>
      </c>
    </row>
    <row r="2582" spans="1:2" x14ac:dyDescent="0.15">
      <c r="A2582" t="s">
        <v>2557</v>
      </c>
      <c r="B2582" t="str">
        <f>HYPERLINK("し/しょう　秘訣并小便不利　成書年未詳　灸穴集　著者未詳_ページ_7.jpg")</f>
        <v>し/しょう　秘訣并小便不利　成書年未詳　灸穴集　著者未詳_ページ_7.jpg</v>
      </c>
    </row>
    <row r="2583" spans="1:2" x14ac:dyDescent="0.15">
      <c r="A2583" t="s">
        <v>2558</v>
      </c>
      <c r="B2583" t="str">
        <f>HYPERLINK("し/しょく　宿食論并に食傷治法　1693　鍼灸要歌集　安井昌玄_ページ_1.jpg")</f>
        <v>し/しょく　宿食論并に食傷治法　1693　鍼灸要歌集　安井昌玄_ページ_1.jpg</v>
      </c>
    </row>
    <row r="2584" spans="1:2" x14ac:dyDescent="0.15">
      <c r="A2584" t="s">
        <v>2559</v>
      </c>
      <c r="B2584" t="str">
        <f>HYPERLINK("し/しょく　宿食論并に食傷治法　1693　鍼灸要歌集　安井昌玄_ページ_2.jpg")</f>
        <v>し/しょく　宿食論并に食傷治法　1693　鍼灸要歌集　安井昌玄_ページ_2.jpg</v>
      </c>
    </row>
    <row r="2585" spans="1:2" x14ac:dyDescent="0.15">
      <c r="A2585" t="s">
        <v>2560</v>
      </c>
      <c r="B2585" t="str">
        <f>HYPERLINK("し/しょく　食不下（不化）　1220　鍼灸資生経　王執中_ページ_1.jpg")</f>
        <v>し/しょく　食不下（不化）　1220　鍼灸資生経　王執中_ページ_1.jpg</v>
      </c>
    </row>
    <row r="2586" spans="1:2" x14ac:dyDescent="0.15">
      <c r="A2586" t="s">
        <v>2561</v>
      </c>
      <c r="B2586" t="str">
        <f>HYPERLINK("し/しょく　食不下（不化）　1220　鍼灸資生経　王執中_ページ_2.jpg")</f>
        <v>し/しょく　食不下（不化）　1220　鍼灸資生経　王執中_ページ_2.jpg</v>
      </c>
    </row>
    <row r="2587" spans="1:2" x14ac:dyDescent="0.15">
      <c r="A2587" t="s">
        <v>2562</v>
      </c>
      <c r="B2587" t="str">
        <f>HYPERLINK("し/しょく　食傷　1686　鍼灸要法指南　岩田利斎.jpg")</f>
        <v>し/しょく　食傷　1686　鍼灸要法指南　岩田利斎.jpg</v>
      </c>
    </row>
    <row r="2588" spans="1:2" x14ac:dyDescent="0.15">
      <c r="A2588" t="s">
        <v>2563</v>
      </c>
      <c r="B2588" t="str">
        <f>HYPERLINK("し/しょく　食傷　1693　鍼灸要歌集　安井昌玄.jpg")</f>
        <v>し/しょく　食傷　1693　鍼灸要歌集　安井昌玄.jpg</v>
      </c>
    </row>
    <row r="2589" spans="1:2" x14ac:dyDescent="0.15">
      <c r="A2589" t="s">
        <v>2564</v>
      </c>
      <c r="B2589" t="str">
        <f>HYPERLINK("し/しょく　食傷　1780　しょくあたり　鍼灸極秘伝　木村太沖.jpg")</f>
        <v>し/しょく　食傷　1780　しょくあたり　鍼灸極秘伝　木村太沖.jpg</v>
      </c>
    </row>
    <row r="2590" spans="1:2" x14ac:dyDescent="0.15">
      <c r="A2590" t="s">
        <v>2565</v>
      </c>
      <c r="B2590" t="str">
        <f>HYPERLINK("し/しょく　食傷　1792　鍼法要集　源長起_ページ_1.jpg")</f>
        <v>し/しょく　食傷　1792　鍼法要集　源長起_ページ_1.jpg</v>
      </c>
    </row>
    <row r="2591" spans="1:2" x14ac:dyDescent="0.15">
      <c r="A2591" t="s">
        <v>2566</v>
      </c>
      <c r="B2591" t="str">
        <f>HYPERLINK("し/しょく　食傷　1792　鍼法要集　源長起_ページ_2.jpg")</f>
        <v>し/しょく　食傷　1792　鍼法要集　源長起_ページ_2.jpg</v>
      </c>
    </row>
    <row r="2592" spans="1:2" x14ac:dyDescent="0.15">
      <c r="A2592" t="s">
        <v>2567</v>
      </c>
      <c r="B2592" t="str">
        <f>HYPERLINK("し/しょく　食傷　1792　鍼法要集　源長起_ページ_3.jpg")</f>
        <v>し/しょく　食傷　1792　鍼法要集　源長起_ページ_3.jpg</v>
      </c>
    </row>
    <row r="2593" spans="1:2" x14ac:dyDescent="0.15">
      <c r="A2593" t="s">
        <v>2568</v>
      </c>
      <c r="B2593" t="str">
        <f>HYPERLINK("し/しょく　食傷　しよくあたり　急性胃加多児（カタル）　1887（明治20）　鍼灸備要　青山道醇.jpg")</f>
        <v>し/しょく　食傷　しよくあたり　急性胃加多児（カタル）　1887（明治20）　鍼灸備要　青山道醇.jpg</v>
      </c>
    </row>
    <row r="2594" spans="1:2" x14ac:dyDescent="0.15">
      <c r="A2594" t="s">
        <v>2569</v>
      </c>
      <c r="B2594" t="str">
        <f>HYPERLINK("し/しょく　食多　1220　鍼灸資生経　王執中.jpg")</f>
        <v>し/しょく　食多　1220　鍼灸資生経　王執中.jpg</v>
      </c>
    </row>
    <row r="2595" spans="1:2" x14ac:dyDescent="0.15">
      <c r="A2595" t="s">
        <v>2570</v>
      </c>
      <c r="B2595" t="str">
        <f>HYPERLINK("し/しょく　食気不進　1912年（大正01）　鍼灸手引草　久木田七郎.jpg")</f>
        <v>し/しょく　食気不進　1912年（大正01）　鍼灸手引草　久木田七郎.jpg</v>
      </c>
    </row>
    <row r="2596" spans="1:2" x14ac:dyDescent="0.15">
      <c r="A2596" t="s">
        <v>2571</v>
      </c>
      <c r="B2596" t="str">
        <f>HYPERLINK("し/しょく　食気（無味）　1220　鍼灸資生経　王執中_ページ_1.jpg")</f>
        <v>し/しょく　食気（無味）　1220　鍼灸資生経　王執中_ページ_1.jpg</v>
      </c>
    </row>
    <row r="2597" spans="1:2" x14ac:dyDescent="0.15">
      <c r="A2597" t="s">
        <v>2572</v>
      </c>
      <c r="B2597" t="str">
        <f>HYPERLINK("し/しょく　食気（無味）　1220　鍼灸資生経　王執中_ページ_2.jpg")</f>
        <v>し/しょく　食気（無味）　1220　鍼灸資生経　王執中_ページ_2.jpg</v>
      </c>
    </row>
    <row r="2598" spans="1:2" x14ac:dyDescent="0.15">
      <c r="A2598" t="s">
        <v>2573</v>
      </c>
      <c r="B2598" t="str">
        <f>HYPERLINK("し/しり　尻　1669　鍼灸枢要　山本玄通.jpg")</f>
        <v>し/しり　尻　1669　鍼灸枢要　山本玄通.jpg</v>
      </c>
    </row>
    <row r="2599" spans="1:2" x14ac:dyDescent="0.15">
      <c r="A2599" t="s">
        <v>2574</v>
      </c>
      <c r="B2599" t="str">
        <f>HYPERLINK("し/しり　尻　1800　鍼灸備要　小坂元祐.jpg")</f>
        <v>し/しり　尻　1800　鍼灸備要　小坂元祐.jpg</v>
      </c>
    </row>
    <row r="2600" spans="1:2" x14ac:dyDescent="0.15">
      <c r="A2600" t="s">
        <v>2575</v>
      </c>
      <c r="B2600" t="str">
        <f>HYPERLINK("し/しん　しん門不合　1686　鍼灸要法指南　岩田利斎.jpg")</f>
        <v>し/しん　しん門不合　1686　鍼灸要法指南　岩田利斎.jpg</v>
      </c>
    </row>
    <row r="2601" spans="1:2" x14ac:dyDescent="0.15">
      <c r="A2601" t="s">
        <v>2576</v>
      </c>
      <c r="B2601" t="str">
        <f>HYPERLINK("し/しん　しん門不合　1693　鍼灸要歌集　安井昌玄.jpg")</f>
        <v>し/しん　しん門不合　1693　鍼灸要歌集　安井昌玄.jpg</v>
      </c>
    </row>
    <row r="2602" spans="1:2" x14ac:dyDescent="0.15">
      <c r="A2602" t="s">
        <v>2577</v>
      </c>
      <c r="B2602" t="str">
        <f>HYPERLINK("し/しん　しん門不合　1703　鍼灸阿是要穴　岡本一抱.jpg")</f>
        <v>し/しん　しん門不合　1703　鍼灸阿是要穴　岡本一抱.jpg</v>
      </c>
    </row>
    <row r="2603" spans="1:2" x14ac:dyDescent="0.15">
      <c r="A2603" t="s">
        <v>2578</v>
      </c>
      <c r="B2603" t="str">
        <f>HYPERLINK("し/しん　唇　1669　鍼灸枢要　山本玄通_ページ_1.jpg")</f>
        <v>し/しん　唇　1669　鍼灸枢要　山本玄通_ページ_1.jpg</v>
      </c>
    </row>
    <row r="2604" spans="1:2" x14ac:dyDescent="0.15">
      <c r="A2604" t="s">
        <v>2579</v>
      </c>
      <c r="B2604" t="str">
        <f>HYPERLINK("し/しん　唇　1669　鍼灸枢要　山本玄通_ページ_2.jpg")</f>
        <v>し/しん　唇　1669　鍼灸枢要　山本玄通_ページ_2.jpg</v>
      </c>
    </row>
    <row r="2605" spans="1:2" x14ac:dyDescent="0.15">
      <c r="A2605" t="s">
        <v>2580</v>
      </c>
      <c r="B2605" t="str">
        <f>HYPERLINK("し/しん　唇　1718　鍼灸重宝記　本郷正豊.jpg")</f>
        <v>し/しん　唇　1718　鍼灸重宝記　本郷正豊.jpg</v>
      </c>
    </row>
    <row r="2606" spans="1:2" x14ac:dyDescent="0.15">
      <c r="A2606" t="s">
        <v>2581</v>
      </c>
      <c r="B2606" t="str">
        <f>HYPERLINK("し/しん　唇　1800　鍼灸備要　小坂元祐.jpg")</f>
        <v>し/しん　唇　1800　鍼灸備要　小坂元祐.jpg</v>
      </c>
    </row>
    <row r="2607" spans="1:2" x14ac:dyDescent="0.15">
      <c r="A2607" t="s">
        <v>2582</v>
      </c>
      <c r="B2607" t="str">
        <f>HYPERLINK("し/しん　唇口　1680　鍼灸抜萃　著者未詳.jpg")</f>
        <v>し/しん　唇口　1680　鍼灸抜萃　著者未詳.jpg</v>
      </c>
    </row>
    <row r="2608" spans="1:2" x14ac:dyDescent="0.15">
      <c r="A2608" t="s">
        <v>2583</v>
      </c>
      <c r="B2608" t="str">
        <f>HYPERLINK("し/しん　唇口　1693　鍼灸要歌集　安井昌玄_ページ_1.jpg")</f>
        <v>し/しん　唇口　1693　鍼灸要歌集　安井昌玄_ページ_1.jpg</v>
      </c>
    </row>
    <row r="2609" spans="1:2" x14ac:dyDescent="0.15">
      <c r="A2609" t="s">
        <v>2584</v>
      </c>
      <c r="B2609" t="str">
        <f>HYPERLINK("し/しん　唇口　1693　鍼灸要歌集　安井昌玄_ページ_2.jpg")</f>
        <v>し/しん　唇口　1693　鍼灸要歌集　安井昌玄_ページ_2.jpg</v>
      </c>
    </row>
    <row r="2610" spans="1:2" x14ac:dyDescent="0.15">
      <c r="A2610" t="s">
        <v>2585</v>
      </c>
      <c r="B2610" t="str">
        <f>HYPERLINK("し/しん　唇口　1693　鍼灸要歌集　安井昌玄_ページ_3.jpg")</f>
        <v>し/しん　唇口　1693　鍼灸要歌集　安井昌玄_ページ_3.jpg</v>
      </c>
    </row>
    <row r="2611" spans="1:2" x14ac:dyDescent="0.15">
      <c r="A2611" t="s">
        <v>2586</v>
      </c>
      <c r="B2611" t="str">
        <f>HYPERLINK("し/しん　唇口　1696　広益鍼灸抜萃　著者未詳_ページ_1.jpg")</f>
        <v>し/しん　唇口　1696　広益鍼灸抜萃　著者未詳_ページ_1.jpg</v>
      </c>
    </row>
    <row r="2612" spans="1:2" x14ac:dyDescent="0.15">
      <c r="A2612" t="s">
        <v>2587</v>
      </c>
      <c r="B2612" t="str">
        <f>HYPERLINK("し/しん　唇口　1696　広益鍼灸抜萃　著者未詳_ページ_2.jpg")</f>
        <v>し/しん　唇口　1696　広益鍼灸抜萃　著者未詳_ページ_2.jpg</v>
      </c>
    </row>
    <row r="2613" spans="1:2" x14ac:dyDescent="0.15">
      <c r="A2613" t="s">
        <v>2588</v>
      </c>
      <c r="B2613" t="str">
        <f>HYPERLINK("し/しん　唇口病　成書年未詳　灸穴集　著者未詳_ページ_1.jpg")</f>
        <v>し/しん　唇口病　成書年未詳　灸穴集　著者未詳_ページ_1.jpg</v>
      </c>
    </row>
    <row r="2614" spans="1:2" x14ac:dyDescent="0.15">
      <c r="A2614" t="s">
        <v>2589</v>
      </c>
      <c r="B2614" t="str">
        <f>HYPERLINK("し/しん　唇口病　成書年未詳　灸穴集　著者未詳_ページ_2.jpg")</f>
        <v>し/しん　唇口病　成書年未詳　灸穴集　著者未詳_ページ_2.jpg</v>
      </c>
    </row>
    <row r="2615" spans="1:2" x14ac:dyDescent="0.15">
      <c r="A2615" t="s">
        <v>2590</v>
      </c>
      <c r="B2615" t="str">
        <f>HYPERLINK("し/しん　唇口病　成書年未詳　灸穴集　著者未詳_ページ_3.jpg")</f>
        <v>し/しん　唇口病　成書年未詳　灸穴集　著者未詳_ページ_3.jpg</v>
      </c>
    </row>
    <row r="2616" spans="1:2" x14ac:dyDescent="0.15">
      <c r="A2616" t="s">
        <v>2591</v>
      </c>
      <c r="B2616" t="str">
        <f>HYPERLINK("し/しん　唇口病　成書年未詳　灸穴集　著者未詳_ページ_4.jpg")</f>
        <v>し/しん　唇口病　成書年未詳　灸穴集　著者未詳_ページ_4.jpg</v>
      </c>
    </row>
    <row r="2617" spans="1:2" x14ac:dyDescent="0.15">
      <c r="A2617" t="s">
        <v>2592</v>
      </c>
      <c r="B2617" t="str">
        <f>HYPERLINK("し/しん　唇口病　成書年未詳　灸穴集　著者未詳_ページ_5.jpg")</f>
        <v>し/しん　唇口病　成書年未詳　灸穴集　著者未詳_ページ_5.jpg</v>
      </c>
    </row>
    <row r="2618" spans="1:2" x14ac:dyDescent="0.15">
      <c r="A2618" t="s">
        <v>2593</v>
      </c>
      <c r="B2618" t="str">
        <f>HYPERLINK("し/しん　唇頬腫痛（頤頷腫）　1220　鍼灸資生経　王執中_ページ_1.jpg")</f>
        <v>し/しん　唇頬腫痛（頤頷腫）　1220　鍼灸資生経　王執中_ページ_1.jpg</v>
      </c>
    </row>
    <row r="2619" spans="1:2" x14ac:dyDescent="0.15">
      <c r="A2619" t="s">
        <v>2594</v>
      </c>
      <c r="B2619" t="str">
        <f>HYPERLINK("し/しん　唇頬腫痛（頤頷腫）　1220　鍼灸資生経　王執中_ページ_2.jpg")</f>
        <v>し/しん　唇頬腫痛（頤頷腫）　1220　鍼灸資生経　王執中_ページ_2.jpg</v>
      </c>
    </row>
    <row r="2620" spans="1:2" x14ac:dyDescent="0.15">
      <c r="A2620" t="s">
        <v>2595</v>
      </c>
      <c r="B2620" t="str">
        <f>HYPERLINK("し/しん　心の積　1607　扁鵲新流鍼書　越齋寿閑_ページ_1.jpg")</f>
        <v>し/しん　心の積　1607　扁鵲新流鍼書　越齋寿閑_ページ_1.jpg</v>
      </c>
    </row>
    <row r="2621" spans="1:2" x14ac:dyDescent="0.15">
      <c r="A2621" t="s">
        <v>2596</v>
      </c>
      <c r="B2621" t="str">
        <f>HYPERLINK("し/しん　心の積　1607　扁鵲新流鍼書　越齋寿閑_ページ_2.jpg")</f>
        <v>し/しん　心の積　1607　扁鵲新流鍼書　越齋寿閑_ページ_2.jpg</v>
      </c>
    </row>
    <row r="2622" spans="1:2" x14ac:dyDescent="0.15">
      <c r="A2622" t="s">
        <v>2597</v>
      </c>
      <c r="B2622" t="str">
        <f>HYPERLINK("し/しん　心下痞悶・不食　むねの下つかえてふしょく（不食）する人　1780　鍼灸極秘伝　木村太沖.jpg")</f>
        <v>し/しん　心下痞悶・不食　むねの下つかえてふしょく（不食）する人　1780　鍼灸極秘伝　木村太沖.jpg</v>
      </c>
    </row>
    <row r="2623" spans="1:2" x14ac:dyDescent="0.15">
      <c r="A2623" t="s">
        <v>2598</v>
      </c>
      <c r="B2623" t="str">
        <f>HYPERLINK("し/しん　心喜笑（怒）　1220　鍼灸資生経　王執中.jpg")</f>
        <v>し/しん　心喜笑（怒）　1220　鍼灸資生経　王執中.jpg</v>
      </c>
    </row>
    <row r="2624" spans="1:2" x14ac:dyDescent="0.15">
      <c r="A2624" t="s">
        <v>2599</v>
      </c>
      <c r="B2624" t="str">
        <f>HYPERLINK("し/しん　心恍惚（余見肺中風）　1220　鍼灸資生経　王執中_ページ_1.jpg")</f>
        <v>し/しん　心恍惚（余見肺中風）　1220　鍼灸資生経　王執中_ページ_1.jpg</v>
      </c>
    </row>
    <row r="2625" spans="1:2" x14ac:dyDescent="0.15">
      <c r="A2625" t="s">
        <v>2600</v>
      </c>
      <c r="B2625" t="str">
        <f>HYPERLINK("し/しん　心恍惚（余見肺中風）　1220　鍼灸資生経　王執中_ページ_2.jpg")</f>
        <v>し/しん　心恍惚（余見肺中風）　1220　鍼灸資生経　王執中_ページ_2.jpg</v>
      </c>
    </row>
    <row r="2626" spans="1:2" x14ac:dyDescent="0.15">
      <c r="A2626" t="s">
        <v>2601</v>
      </c>
      <c r="B2626" t="str">
        <f>HYPERLINK("し/しん　心悶不已　1315　鍼経摘英集　元・杜思敬「済生抜粋方」.jpg")</f>
        <v>し/しん　心悶不已　1315　鍼経摘英集　元・杜思敬「済生抜粋方」.jpg</v>
      </c>
    </row>
    <row r="2627" spans="1:2" x14ac:dyDescent="0.15">
      <c r="A2627" t="s">
        <v>2602</v>
      </c>
      <c r="B2627" t="str">
        <f>HYPERLINK("し/しん　心憂悲（哭泣　余見癲邪）　1220　鍼灸資生経　王執中.jpg")</f>
        <v>し/しん　心憂悲（哭泣　余見癲邪）　1220　鍼灸資生経　王執中.jpg</v>
      </c>
    </row>
    <row r="2628" spans="1:2" x14ac:dyDescent="0.15">
      <c r="A2628" t="s">
        <v>2603</v>
      </c>
      <c r="B2628" t="str">
        <f>HYPERLINK("し/しん　心気　健忘　無心力　失志　1912年（大正01）　鍼灸手引草　久木田七郎.jpg")</f>
        <v>し/しん　心気　健忘　無心力　失志　1912年（大正01）　鍼灸手引草　久木田七郎.jpg</v>
      </c>
    </row>
    <row r="2629" spans="1:2" x14ac:dyDescent="0.15">
      <c r="A2629" t="s">
        <v>2604</v>
      </c>
      <c r="B2629" t="str">
        <f>HYPERLINK("し/しん　心気（健忘、無心力、失志）　1220　鍼灸資生経　王執中_ページ_1.jpg")</f>
        <v>し/しん　心気（健忘、無心力、失志）　1220　鍼灸資生経　王執中_ページ_1.jpg</v>
      </c>
    </row>
    <row r="2630" spans="1:2" x14ac:dyDescent="0.15">
      <c r="A2630" t="s">
        <v>2605</v>
      </c>
      <c r="B2630" t="str">
        <f>HYPERLINK("し/しん　心気（健忘、無心力、失志）　1220　鍼灸資生経　王執中_ページ_2.jpg")</f>
        <v>し/しん　心気（健忘、無心力、失志）　1220　鍼灸資生経　王執中_ページ_2.jpg</v>
      </c>
    </row>
    <row r="2631" spans="1:2" x14ac:dyDescent="0.15">
      <c r="A2631" t="s">
        <v>2606</v>
      </c>
      <c r="B2631" t="str">
        <f>HYPERLINK("し/しん　心煩悶　1220　鍼灸資生経　王執中.jpg")</f>
        <v>し/しん　心煩悶　1220　鍼灸資生経　王執中.jpg</v>
      </c>
    </row>
    <row r="2632" spans="1:2" x14ac:dyDescent="0.15">
      <c r="A2632" t="s">
        <v>2607</v>
      </c>
      <c r="B2632" t="str">
        <f>HYPERLINK("し/しん　心煩悶　1912年（大正01）　鍼灸手引草　久木田七郎_ページ_1.jpg")</f>
        <v>し/しん　心煩悶　1912年（大正01）　鍼灸手引草　久木田七郎_ページ_1.jpg</v>
      </c>
    </row>
    <row r="2633" spans="1:2" x14ac:dyDescent="0.15">
      <c r="A2633" t="s">
        <v>2608</v>
      </c>
      <c r="B2633" t="str">
        <f>HYPERLINK("し/しん　心煩悶　1912年（大正01）　鍼灸手引草　久木田七郎_ページ_2.jpg")</f>
        <v>し/しん　心煩悶　1912年（大正01）　鍼灸手引草　久木田七郎_ページ_2.jpg</v>
      </c>
    </row>
    <row r="2634" spans="1:2" x14ac:dyDescent="0.15">
      <c r="A2634" t="s">
        <v>2609</v>
      </c>
      <c r="B2634" t="str">
        <f>HYPERLINK("し/しん　心病　0650　千金方　孫思ばく_ページ_1.jpg")</f>
        <v>し/しん　心病　0650　千金方　孫思ばく_ページ_1.jpg</v>
      </c>
    </row>
    <row r="2635" spans="1:2" x14ac:dyDescent="0.15">
      <c r="A2635" t="s">
        <v>2610</v>
      </c>
      <c r="B2635" t="str">
        <f>HYPERLINK("し/しん　心痛　1220　鍼灸資生経　王執中_ページ_1.jpg")</f>
        <v>し/しん　心痛　1220　鍼灸資生経　王執中_ページ_1.jpg</v>
      </c>
    </row>
    <row r="2636" spans="1:2" x14ac:dyDescent="0.15">
      <c r="A2636" t="s">
        <v>2611</v>
      </c>
      <c r="B2636" t="str">
        <f>HYPERLINK("し/しん　心痛　1220　鍼灸資生経　王執中_ページ_2.jpg")</f>
        <v>し/しん　心痛　1220　鍼灸資生経　王執中_ページ_2.jpg</v>
      </c>
    </row>
    <row r="2637" spans="1:2" x14ac:dyDescent="0.15">
      <c r="A2637" t="s">
        <v>2612</v>
      </c>
      <c r="B2637" t="str">
        <f>HYPERLINK("し/しん　心痛　1220　鍼灸資生経　王執中_ページ_3.jpg")</f>
        <v>し/しん　心痛　1220　鍼灸資生経　王執中_ページ_3.jpg</v>
      </c>
    </row>
    <row r="2638" spans="1:2" x14ac:dyDescent="0.15">
      <c r="A2638" t="s">
        <v>2613</v>
      </c>
      <c r="B2638" t="str">
        <f>HYPERLINK("し/しん　心痛　1220　鍼灸資生経　王執中_ページ_4.jpg")</f>
        <v>し/しん　心痛　1220　鍼灸資生経　王執中_ページ_4.jpg</v>
      </c>
    </row>
    <row r="2639" spans="1:2" x14ac:dyDescent="0.15">
      <c r="A2639" t="s">
        <v>2614</v>
      </c>
      <c r="B2639" t="str">
        <f>HYPERLINK("し/しん　心痛　1329　扁鵲神応鍼灸玉龍経　元・王国瑞.jpg")</f>
        <v>し/しん　心痛　1329　扁鵲神応鍼灸玉龍経　元・王国瑞.jpg</v>
      </c>
    </row>
    <row r="2640" spans="1:2" x14ac:dyDescent="0.15">
      <c r="A2640" t="s">
        <v>2615</v>
      </c>
      <c r="B2640" t="str">
        <f>HYPERLINK("し/しん　心痛　1537　鍼灸聚英　明・高武_ページ_1.jpg")</f>
        <v>し/しん　心痛　1537　鍼灸聚英　明・高武_ページ_1.jpg</v>
      </c>
    </row>
    <row r="2641" spans="1:2" x14ac:dyDescent="0.15">
      <c r="A2641" t="s">
        <v>2616</v>
      </c>
      <c r="B2641" t="str">
        <f>HYPERLINK("し/しん　心痛　1537　鍼灸聚英　明・高武_ページ_2.jpg")</f>
        <v>し/しん　心痛　1537　鍼灸聚英　明・高武_ページ_2.jpg</v>
      </c>
    </row>
    <row r="2642" spans="1:2" x14ac:dyDescent="0.15">
      <c r="A2642" t="s">
        <v>2617</v>
      </c>
      <c r="B2642" t="str">
        <f>HYPERLINK("し/しん　心痛　1594　経脈方寸秘書　曲直瀬道三.jpg")</f>
        <v>し/しん　心痛　1594　経脈方寸秘書　曲直瀬道三.jpg</v>
      </c>
    </row>
    <row r="2643" spans="1:2" x14ac:dyDescent="0.15">
      <c r="A2643" t="s">
        <v>2618</v>
      </c>
      <c r="B2643" t="str">
        <f>HYPERLINK("し/しん　心痛　1594　鍼灸集要　曲直瀬道三_ページ_1.jpg")</f>
        <v>し/しん　心痛　1594　鍼灸集要　曲直瀬道三_ページ_1.jpg</v>
      </c>
    </row>
    <row r="2644" spans="1:2" x14ac:dyDescent="0.15">
      <c r="A2644" t="s">
        <v>2619</v>
      </c>
      <c r="B2644" t="str">
        <f>HYPERLINK("し/しん　心痛　1594　鍼灸集要　曲直瀬道三_ページ_2.jpg")</f>
        <v>し/しん　心痛　1594　鍼灸集要　曲直瀬道三_ページ_2.jpg</v>
      </c>
    </row>
    <row r="2645" spans="1:2" x14ac:dyDescent="0.15">
      <c r="A2645" t="s">
        <v>2620</v>
      </c>
      <c r="B2645" t="str">
        <f>HYPERLINK("し/しん　心痛　1607　扁鵲新流鍼書　越齋寿閑.jpg")</f>
        <v>し/しん　心痛　1607　扁鵲新流鍼書　越齋寿閑.jpg</v>
      </c>
    </row>
    <row r="2646" spans="1:2" x14ac:dyDescent="0.15">
      <c r="A2646" t="s">
        <v>2621</v>
      </c>
      <c r="B2646" t="str">
        <f>HYPERLINK("し/しん　心痛　1613　古今集鍼法　長生庵了味か.jpg")</f>
        <v>し/しん　心痛　1613　古今集鍼法　長生庵了味か.jpg</v>
      </c>
    </row>
    <row r="2647" spans="1:2" x14ac:dyDescent="0.15">
      <c r="A2647" t="s">
        <v>2622</v>
      </c>
      <c r="B2647" t="str">
        <f>HYPERLINK("し/しん　心痛　1679　鍼法奇貨　渡辺東伯_ページ_1.jpg")</f>
        <v>し/しん　心痛　1679　鍼法奇貨　渡辺東伯_ページ_1.jpg</v>
      </c>
    </row>
    <row r="2648" spans="1:2" x14ac:dyDescent="0.15">
      <c r="A2648" t="s">
        <v>2623</v>
      </c>
      <c r="B2648" t="str">
        <f>HYPERLINK("し/しん　心痛　1679　鍼法奇貨　渡辺東伯_ページ_2.jpg")</f>
        <v>し/しん　心痛　1679　鍼法奇貨　渡辺東伯_ページ_2.jpg</v>
      </c>
    </row>
    <row r="2649" spans="1:2" x14ac:dyDescent="0.15">
      <c r="A2649" t="s">
        <v>2624</v>
      </c>
      <c r="B2649" t="str">
        <f>HYPERLINK("し/しん　心痛　1679　鍼法奇貨　渡辺東伯_ページ_3.jpg")</f>
        <v>し/しん　心痛　1679　鍼法奇貨　渡辺東伯_ページ_3.jpg</v>
      </c>
    </row>
    <row r="2650" spans="1:2" x14ac:dyDescent="0.15">
      <c r="A2650" t="s">
        <v>2625</v>
      </c>
      <c r="B2650" t="str">
        <f>HYPERLINK("し/しん　心痛　1680　鍼灸抜萃　著者未詳.jpg")</f>
        <v>し/しん　心痛　1680　鍼灸抜萃　著者未詳.jpg</v>
      </c>
    </row>
    <row r="2651" spans="1:2" x14ac:dyDescent="0.15">
      <c r="A2651" t="s">
        <v>2626</v>
      </c>
      <c r="B2651" t="str">
        <f>HYPERLINK("し/しん　心痛　1686　鍼灸要法指南　岩田利斎.jpg")</f>
        <v>し/しん　心痛　1686　鍼灸要法指南　岩田利斎.jpg</v>
      </c>
    </row>
    <row r="2652" spans="1:2" x14ac:dyDescent="0.15">
      <c r="A2652" t="s">
        <v>2627</v>
      </c>
      <c r="B2652" t="str">
        <f>HYPERLINK("し/しん　心痛　1693　鍼灸要歌集　安井昌玄_ページ_1.jpg")</f>
        <v>し/しん　心痛　1693　鍼灸要歌集　安井昌玄_ページ_1.jpg</v>
      </c>
    </row>
    <row r="2653" spans="1:2" x14ac:dyDescent="0.15">
      <c r="A2653" t="s">
        <v>2628</v>
      </c>
      <c r="B2653" t="str">
        <f>HYPERLINK("し/しん　心痛　1693　鍼灸要歌集　安井昌玄_ページ_2.jpg")</f>
        <v>し/しん　心痛　1693　鍼灸要歌集　安井昌玄_ページ_2.jpg</v>
      </c>
    </row>
    <row r="2654" spans="1:2" x14ac:dyDescent="0.15">
      <c r="A2654" t="s">
        <v>2629</v>
      </c>
      <c r="B2654" t="str">
        <f>HYPERLINK("し/しん　心痛　1693　鍼灸要歌集　安井昌玄_ページ_3.jpg")</f>
        <v>し/しん　心痛　1693　鍼灸要歌集　安井昌玄_ページ_3.jpg</v>
      </c>
    </row>
    <row r="2655" spans="1:2" x14ac:dyDescent="0.15">
      <c r="A2655" t="s">
        <v>2630</v>
      </c>
      <c r="B2655" t="str">
        <f>HYPERLINK("し/しん　心痛　1696　広益鍼灸抜萃　著者未詳_ページ_1.jpg")</f>
        <v>し/しん　心痛　1696　広益鍼灸抜萃　著者未詳_ページ_1.jpg</v>
      </c>
    </row>
    <row r="2656" spans="1:2" x14ac:dyDescent="0.15">
      <c r="A2656" t="s">
        <v>2631</v>
      </c>
      <c r="B2656" t="str">
        <f>HYPERLINK("し/しん　心痛　1696　広益鍼灸抜萃　著者未詳_ページ_2.jpg")</f>
        <v>し/しん　心痛　1696　広益鍼灸抜萃　著者未詳_ページ_2.jpg</v>
      </c>
    </row>
    <row r="2657" spans="1:2" x14ac:dyDescent="0.15">
      <c r="A2657" t="s">
        <v>2632</v>
      </c>
      <c r="B2657" t="str">
        <f>HYPERLINK("し/しん　心痛　1698　鍼灸抜粋大成　岡本一抱_ページ_1.jpg")</f>
        <v>し/しん　心痛　1698　鍼灸抜粋大成　岡本一抱_ページ_1.jpg</v>
      </c>
    </row>
    <row r="2658" spans="1:2" x14ac:dyDescent="0.15">
      <c r="A2658" t="s">
        <v>2633</v>
      </c>
      <c r="B2658" t="str">
        <f>HYPERLINK("し/しん　心痛　1698　鍼灸抜粋大成　岡本一抱_ページ_2.jpg")</f>
        <v>し/しん　心痛　1698　鍼灸抜粋大成　岡本一抱_ページ_2.jpg</v>
      </c>
    </row>
    <row r="2659" spans="1:2" x14ac:dyDescent="0.15">
      <c r="A2659" t="s">
        <v>2634</v>
      </c>
      <c r="B2659" t="str">
        <f>HYPERLINK("し/しん　心痛　1718　むねいたみ　鍼灸重宝記　本郷正豊_ページ_1.jpg")</f>
        <v>し/しん　心痛　1718　むねいたみ　鍼灸重宝記　本郷正豊_ページ_1.jpg</v>
      </c>
    </row>
    <row r="2660" spans="1:2" x14ac:dyDescent="0.15">
      <c r="A2660" t="s">
        <v>2635</v>
      </c>
      <c r="B2660" t="str">
        <f>HYPERLINK("し/しん　心痛　1718　むねいたみ　鍼灸重宝記　本郷正豊_ページ_2.jpg")</f>
        <v>し/しん　心痛　1718　むねいたみ　鍼灸重宝記　本郷正豊_ページ_2.jpg</v>
      </c>
    </row>
    <row r="2661" spans="1:2" x14ac:dyDescent="0.15">
      <c r="A2661" t="s">
        <v>2636</v>
      </c>
      <c r="B2661" t="str">
        <f>HYPERLINK("し/しん　心痛　1773　鍼灸手引草　大簡室主人.jpg")</f>
        <v>し/しん　心痛　1773　鍼灸手引草　大簡室主人.jpg</v>
      </c>
    </row>
    <row r="2662" spans="1:2" x14ac:dyDescent="0.15">
      <c r="A2662" t="s">
        <v>2637</v>
      </c>
      <c r="B2662" t="str">
        <f>HYPERLINK("し/しん　心痛　1785　鍼書　本城義軒_ページ_1.jpg")</f>
        <v>し/しん　心痛　1785　鍼書　本城義軒_ページ_1.jpg</v>
      </c>
    </row>
    <row r="2663" spans="1:2" x14ac:dyDescent="0.15">
      <c r="A2663" t="s">
        <v>2638</v>
      </c>
      <c r="B2663" t="str">
        <f>HYPERLINK("し/しん　心痛　1785　鍼書　本城義軒_ページ_2.jpg")</f>
        <v>し/しん　心痛　1785　鍼書　本城義軒_ページ_2.jpg</v>
      </c>
    </row>
    <row r="2664" spans="1:2" x14ac:dyDescent="0.15">
      <c r="A2664" t="s">
        <v>2639</v>
      </c>
      <c r="B2664" t="str">
        <f>HYPERLINK("し/しん　心痛　1792　鍼法要集　源長起_ページ_1.jpg")</f>
        <v>し/しん　心痛　1792　鍼法要集　源長起_ページ_1.jpg</v>
      </c>
    </row>
    <row r="2665" spans="1:2" x14ac:dyDescent="0.15">
      <c r="A2665" t="s">
        <v>2640</v>
      </c>
      <c r="B2665" t="str">
        <f>HYPERLINK("し/しん　心痛　1792　鍼法要集　源長起_ページ_2.jpg")</f>
        <v>し/しん　心痛　1792　鍼法要集　源長起_ページ_2.jpg</v>
      </c>
    </row>
    <row r="2666" spans="1:2" x14ac:dyDescent="0.15">
      <c r="A2666" t="s">
        <v>2641</v>
      </c>
      <c r="B2666" t="str">
        <f>HYPERLINK("し/しん　心痛　1792　鍼法要集　源長起_ページ_3.jpg")</f>
        <v>し/しん　心痛　1792　鍼法要集　源長起_ページ_3.jpg</v>
      </c>
    </row>
    <row r="2667" spans="1:2" x14ac:dyDescent="0.15">
      <c r="A2667" t="s">
        <v>2642</v>
      </c>
      <c r="B2667" t="str">
        <f>HYPERLINK("し/しん　心痛　1794　杉山流鍼術　島浦和田一.jpg")</f>
        <v>し/しん　心痛　1794　杉山流鍼術　島浦和田一.jpg</v>
      </c>
    </row>
    <row r="2668" spans="1:2" x14ac:dyDescent="0.15">
      <c r="A2668" t="s">
        <v>2643</v>
      </c>
      <c r="B2668" t="str">
        <f>HYPERLINK("し/しん　心痛　1800　鍼灸備要　小坂元祐_ページ_1.jpg")</f>
        <v>し/しん　心痛　1800　鍼灸備要　小坂元祐_ページ_1.jpg</v>
      </c>
    </row>
    <row r="2669" spans="1:2" x14ac:dyDescent="0.15">
      <c r="A2669" t="s">
        <v>2644</v>
      </c>
      <c r="B2669" t="str">
        <f>HYPERLINK("し/しん　心痛　1800　鍼灸備要　小坂元祐_ページ_2.jpg")</f>
        <v>し/しん　心痛　1800　鍼灸備要　小坂元祐_ページ_2.jpg</v>
      </c>
    </row>
    <row r="2670" spans="1:2" x14ac:dyDescent="0.15">
      <c r="A2670" t="s">
        <v>2645</v>
      </c>
      <c r="B2670" t="str">
        <f>HYPERLINK("し/しん　心痛　1912年（大正01）　鍼灸手引草　久木田七郎.jpg")</f>
        <v>し/しん　心痛　1912年（大正01）　鍼灸手引草　久木田七郎.jpg</v>
      </c>
    </row>
    <row r="2671" spans="1:2" x14ac:dyDescent="0.15">
      <c r="A2671" t="s">
        <v>2646</v>
      </c>
      <c r="B2671" t="str">
        <f>HYPERLINK("し/しん　心痛　卒心痛胸痺心疝三蟲　0300　●寒気客於五臓六臓発卒心痛胸痺心疝三蟲　第二　鍼灸甲乙経　皇甫謐_ページ_1.jpg")</f>
        <v>し/しん　心痛　卒心痛胸痺心疝三蟲　0300　●寒気客於五臓六臓発卒心痛胸痺心疝三蟲　第二　鍼灸甲乙経　皇甫謐_ページ_1.jpg</v>
      </c>
    </row>
    <row r="2672" spans="1:2" x14ac:dyDescent="0.15">
      <c r="A2672" t="s">
        <v>2647</v>
      </c>
      <c r="B2672" t="str">
        <f>HYPERLINK("し/しん　心痛　卒心痛胸痺心疝三蟲　0300　●寒気客於五臓六臓発卒心痛胸痺心疝三蟲　第二　鍼灸甲乙経　皇甫謐_ページ_2.jpg")</f>
        <v>し/しん　心痛　卒心痛胸痺心疝三蟲　0300　●寒気客於五臓六臓発卒心痛胸痺心疝三蟲　第二　鍼灸甲乙経　皇甫謐_ページ_2.jpg</v>
      </c>
    </row>
    <row r="2673" spans="1:2" x14ac:dyDescent="0.15">
      <c r="A2673" t="s">
        <v>2648</v>
      </c>
      <c r="B2673" t="str">
        <f>HYPERLINK("し/しん　心痛　成書年未詳　灸穴集　著者未詳_ページ_1.jpg")</f>
        <v>し/しん　心痛　成書年未詳　灸穴集　著者未詳_ページ_1.jpg</v>
      </c>
    </row>
    <row r="2674" spans="1:2" x14ac:dyDescent="0.15">
      <c r="A2674" t="s">
        <v>2649</v>
      </c>
      <c r="B2674" t="str">
        <f>HYPERLINK("し/しん　心痛　成書年未詳　灸穴集　著者未詳_ページ_2.jpg")</f>
        <v>し/しん　心痛　成書年未詳　灸穴集　著者未詳_ページ_2.jpg</v>
      </c>
    </row>
    <row r="2675" spans="1:2" x14ac:dyDescent="0.15">
      <c r="A2675" t="s">
        <v>2650</v>
      </c>
      <c r="B2675" t="str">
        <f>HYPERLINK("し/しん　心痛　成書年未詳　灸穴集　著者未詳_ページ_3.jpg")</f>
        <v>し/しん　心痛　成書年未詳　灸穴集　著者未詳_ページ_3.jpg</v>
      </c>
    </row>
    <row r="2676" spans="1:2" x14ac:dyDescent="0.15">
      <c r="A2676" t="s">
        <v>2651</v>
      </c>
      <c r="B2676" t="str">
        <f>HYPERLINK("し/しん　心痛　成書年未詳　灸穴集　著者未詳_ページ_4.jpg")</f>
        <v>し/しん　心痛　成書年未詳　灸穴集　著者未詳_ページ_4.jpg</v>
      </c>
    </row>
    <row r="2677" spans="1:2" x14ac:dyDescent="0.15">
      <c r="A2677" t="s">
        <v>2652</v>
      </c>
      <c r="B2677" t="str">
        <f>HYPERLINK("し/しん　心痛　成書年未詳　灸穴集　著者未詳_ページ_5.jpg")</f>
        <v>し/しん　心痛　成書年未詳　灸穴集　著者未詳_ページ_5.jpg</v>
      </c>
    </row>
    <row r="2678" spans="1:2" x14ac:dyDescent="0.15">
      <c r="A2678" t="s">
        <v>2653</v>
      </c>
      <c r="B2678" t="str">
        <f>HYPERLINK("し/しん　心痛　成書年未詳　灸穴集　著者未詳_ページ_6.jpg")</f>
        <v>し/しん　心痛　成書年未詳　灸穴集　著者未詳_ページ_6.jpg</v>
      </c>
    </row>
    <row r="2679" spans="1:2" x14ac:dyDescent="0.15">
      <c r="A2679" t="s">
        <v>2654</v>
      </c>
      <c r="B2679" t="str">
        <f>HYPERLINK("し/しん　心痛　成書年未詳　灸穴集　著者未詳_ページ_7.jpg")</f>
        <v>し/しん　心痛　成書年未詳　灸穴集　著者未詳_ページ_7.jpg</v>
      </c>
    </row>
    <row r="2680" spans="1:2" x14ac:dyDescent="0.15">
      <c r="A2680" t="s">
        <v>2655</v>
      </c>
      <c r="B2680" t="str">
        <f>HYPERLINK("し/しん　心痛　成書年未詳　灸穴集　著者未詳_ページ_8.jpg")</f>
        <v>し/しん　心痛　成書年未詳　灸穴集　著者未詳_ページ_8.jpg</v>
      </c>
    </row>
    <row r="2681" spans="1:2" x14ac:dyDescent="0.15">
      <c r="A2681" t="s">
        <v>2656</v>
      </c>
      <c r="B2681" t="str">
        <f>HYPERLINK("し/しん　心痛　胃かん痛なり　世俗も胸虫と云ふ物なり　1694　療治之大概集　杉山和一.jpg")</f>
        <v>し/しん　心痛　胃かん痛なり　世俗も胸虫と云ふ物なり　1694　療治之大概集　杉山和一.jpg</v>
      </c>
    </row>
    <row r="2682" spans="1:2" x14ac:dyDescent="0.15">
      <c r="A2682" t="s">
        <v>2657</v>
      </c>
      <c r="B2682" t="str">
        <f>HYPERLINK("し/しん　心痛　附　胃かん痛　1669　鍼灸枢要　山本玄通_ページ_1.jpg")</f>
        <v>し/しん　心痛　附　胃かん痛　1669　鍼灸枢要　山本玄通_ページ_1.jpg</v>
      </c>
    </row>
    <row r="2683" spans="1:2" x14ac:dyDescent="0.15">
      <c r="A2683" t="s">
        <v>2658</v>
      </c>
      <c r="B2683" t="str">
        <f>HYPERLINK("し/しん　心痛　附　胃かん痛　1669　鍼灸枢要　山本玄通_ページ_2.jpg")</f>
        <v>し/しん　心痛　附　胃かん痛　1669　鍼灸枢要　山本玄通_ページ_2.jpg</v>
      </c>
    </row>
    <row r="2684" spans="1:2" x14ac:dyDescent="0.15">
      <c r="A2684" t="s">
        <v>2659</v>
      </c>
      <c r="B2684" t="str">
        <f>HYPERLINK("し/しん　心痛　附　胃かん痛　1669　鍼灸枢要　山本玄通_ページ_3.jpg")</f>
        <v>し/しん　心痛　附　胃かん痛　1669　鍼灸枢要　山本玄通_ページ_3.jpg</v>
      </c>
    </row>
    <row r="2685" spans="1:2" x14ac:dyDescent="0.15">
      <c r="A2685" t="s">
        <v>2660</v>
      </c>
      <c r="B2685" t="str">
        <f>HYPERLINK("し/しん　心痛　附　胃かん痛　1669　鍼灸枢要　山本玄通_ページ_4.jpg")</f>
        <v>し/しん　心痛　附　胃かん痛　1669　鍼灸枢要　山本玄通_ページ_4.jpg</v>
      </c>
    </row>
    <row r="2686" spans="1:2" x14ac:dyDescent="0.15">
      <c r="A2686" t="s">
        <v>2661</v>
      </c>
      <c r="B2686" t="str">
        <f>HYPERLINK("し/しん　心痛　附　胃かん痛　1669　鍼灸枢要　山本玄通_ページ_5.jpg")</f>
        <v>し/しん　心痛　附　胃かん痛　1669　鍼灸枢要　山本玄通_ページ_5.jpg</v>
      </c>
    </row>
    <row r="2687" spans="1:2" x14ac:dyDescent="0.15">
      <c r="A2687" t="s">
        <v>2662</v>
      </c>
      <c r="B2687" t="str">
        <f>HYPERLINK("し/しん　心痛　附　胃かん痛　1669　鍼灸枢要　山本玄通_ページ_6.jpg")</f>
        <v>し/しん　心痛　附　胃かん痛　1669　鍼灸枢要　山本玄通_ページ_6.jpg</v>
      </c>
    </row>
    <row r="2688" spans="1:2" x14ac:dyDescent="0.15">
      <c r="A2688" t="s">
        <v>2663</v>
      </c>
      <c r="B2688" t="str">
        <f>HYPERLINK("し/しん　心痛　附　胃かん痛　1694　鍼灸そかい集　高津敬節.jpg")</f>
        <v>し/しん　心痛　附　胃かん痛　1694　鍼灸そかい集　高津敬節.jpg</v>
      </c>
    </row>
    <row r="2689" spans="1:2" x14ac:dyDescent="0.15">
      <c r="A2689" t="s">
        <v>2664</v>
      </c>
      <c r="B2689" t="str">
        <f>HYPERLINK("し/しん　心痛、又、胸痛　むねいたみ　心臓内膜炎　1887（明治20）　鍼灸備要　青山道醇.jpg")</f>
        <v>し/しん　心痛、又、胸痛　むねいたみ　心臓内膜炎　1887（明治20）　鍼灸備要　青山道醇.jpg</v>
      </c>
    </row>
    <row r="2690" spans="1:2" x14ac:dyDescent="0.15">
      <c r="A2690" t="s">
        <v>2665</v>
      </c>
      <c r="B2690" t="str">
        <f>HYPERLINK("し/しん　心神恐驚　1912年（大正01）　鍼灸手引草　久木田七郎_ページ_1.jpg")</f>
        <v>し/しん　心神恐驚　1912年（大正01）　鍼灸手引草　久木田七郎_ページ_1.jpg</v>
      </c>
    </row>
    <row r="2691" spans="1:2" x14ac:dyDescent="0.15">
      <c r="A2691" t="s">
        <v>2666</v>
      </c>
      <c r="B2691" t="str">
        <f>HYPERLINK("し/しん　心神恐驚　1912年（大正01）　鍼灸手引草　久木田七郎_ページ_2.jpg")</f>
        <v>し/しん　心神恐驚　1912年（大正01）　鍼灸手引草　久木田七郎_ページ_2.jpg</v>
      </c>
    </row>
    <row r="2692" spans="1:2" x14ac:dyDescent="0.15">
      <c r="A2692" t="s">
        <v>2667</v>
      </c>
      <c r="B2692" t="str">
        <f>HYPERLINK("し/しん　心積名伏梁、起臍上、上至心下　1694　選鍼三要集　杉山和一.jpg")</f>
        <v>し/しん　心積名伏梁、起臍上、上至心下　1694　選鍼三要集　杉山和一.jpg</v>
      </c>
    </row>
    <row r="2693" spans="1:2" x14ac:dyDescent="0.15">
      <c r="A2693" t="s">
        <v>2668</v>
      </c>
      <c r="B2693" t="str">
        <f>HYPERLINK("し/しん　心脾胃部　1425　神応経　明・陳会撰・劉瑾重校_ページ_1.jpg")</f>
        <v>し/しん　心脾胃部　1425　神応経　明・陳会撰・劉瑾重校_ページ_1.jpg</v>
      </c>
    </row>
    <row r="2694" spans="1:2" x14ac:dyDescent="0.15">
      <c r="A2694" t="s">
        <v>2669</v>
      </c>
      <c r="B2694" t="str">
        <f>HYPERLINK("し/しん　心脾胃部　1425　神応経　明・陳会撰・劉瑾重校_ページ_2.jpg")</f>
        <v>し/しん　心脾胃部　1425　神応経　明・陳会撰・劉瑾重校_ページ_2.jpg</v>
      </c>
    </row>
    <row r="2695" spans="1:2" x14ac:dyDescent="0.15">
      <c r="A2695" t="s">
        <v>2670</v>
      </c>
      <c r="B2695" t="str">
        <f>HYPERLINK("し/しん　心脾胃部　1425　神応経　明・陳会撰・劉瑾重校_ページ_3.jpg")</f>
        <v>し/しん　心脾胃部　1425　神応経　明・陳会撰・劉瑾重校_ページ_3.jpg</v>
      </c>
    </row>
    <row r="2696" spans="1:2" x14ac:dyDescent="0.15">
      <c r="A2696" t="s">
        <v>2671</v>
      </c>
      <c r="B2696" t="str">
        <f>HYPERLINK("し/しん　心腹　脹満　痞気　積聚　1813　名家灸選三編　平井庸信_ページ_1.jpg")</f>
        <v>し/しん　心腹　脹満　痞気　積聚　1813　名家灸選三編　平井庸信_ページ_1.jpg</v>
      </c>
    </row>
    <row r="2697" spans="1:2" x14ac:dyDescent="0.15">
      <c r="A2697" t="s">
        <v>5516</v>
      </c>
      <c r="B2697" t="str">
        <f>HYPERLINK("し/しん　心腹　脹満　痞気　積聚　1813　名家灸選三編　平井庸信_ページ_2.jpg")</f>
        <v>し/しん　心腹　脹満　痞気　積聚　1813　名家灸選三編　平井庸信_ページ_2.jpg</v>
      </c>
    </row>
    <row r="2698" spans="1:2" x14ac:dyDescent="0.15">
      <c r="A2698" t="s">
        <v>2672</v>
      </c>
      <c r="B2698" t="str">
        <f>HYPERLINK("し/しん　心腹　脹満　痞気　積聚　1813　名家灸選三編　平井庸信_ページ_3.jpg")</f>
        <v>し/しん　心腹　脹満　痞気　積聚　1813　名家灸選三編　平井庸信_ページ_3.jpg</v>
      </c>
    </row>
    <row r="2699" spans="1:2" x14ac:dyDescent="0.15">
      <c r="A2699" t="s">
        <v>2673</v>
      </c>
      <c r="B2699" t="str">
        <f>HYPERLINK("し/しん　心腹　脹満　痞気　積聚　1813　名家灸選三編　平井庸信_ページ_4.jpg")</f>
        <v>し/しん　心腹　脹満　痞気　積聚　1813　名家灸選三編　平井庸信_ページ_4.jpg</v>
      </c>
    </row>
    <row r="2700" spans="1:2" x14ac:dyDescent="0.15">
      <c r="A2700" t="s">
        <v>2674</v>
      </c>
      <c r="B2700" t="str">
        <f>HYPERLINK("し/しん　心腹　脹満　痞気　積聚　1813　名家灸選三編　平井庸信_ページ_5.jpg")</f>
        <v>し/しん　心腹　脹満　痞気　積聚　1813　名家灸選三編　平井庸信_ページ_5.jpg</v>
      </c>
    </row>
    <row r="2701" spans="1:2" x14ac:dyDescent="0.15">
      <c r="A2701" t="s">
        <v>2675</v>
      </c>
      <c r="B2701" t="str">
        <f>HYPERLINK("し/しん　心腹　脹満　痞気　積聚　1813　名家灸選三編　平井庸信_ページ_6.jpg")</f>
        <v>し/しん　心腹　脹満　痞気　積聚　1813　名家灸選三編　平井庸信_ページ_6.jpg</v>
      </c>
    </row>
    <row r="2702" spans="1:2" x14ac:dyDescent="0.15">
      <c r="A2702" t="s">
        <v>2676</v>
      </c>
      <c r="B2702" t="str">
        <f>HYPERLINK("し/しん　心腹　脹満　痞気　積聚　1813　名家灸選三編　平井庸信_ページ_7.jpg")</f>
        <v>し/しん　心腹　脹満　痞気　積聚　1813　名家灸選三編　平井庸信_ページ_7.jpg</v>
      </c>
    </row>
    <row r="2703" spans="1:2" x14ac:dyDescent="0.15">
      <c r="A2703" t="s">
        <v>2677</v>
      </c>
      <c r="B2703" t="str">
        <f>HYPERLINK("し/しん　心腹卒痛、自汗出つる者　むねはら急にいたみ、あせのいづるに　1780　鍼灸極秘伝　木村太沖.jpg")</f>
        <v>し/しん　心腹卒痛、自汗出つる者　むねはら急にいたみ、あせのいづるに　1780　鍼灸極秘伝　木村太沖.jpg</v>
      </c>
    </row>
    <row r="2704" spans="1:2" x14ac:dyDescent="0.15">
      <c r="A2704" t="s">
        <v>2678</v>
      </c>
      <c r="B2704" t="str">
        <f>HYPERLINK("し/しん　心腹堅大（余論見腹満）　1220　鍼灸資生経　王執中_ページ_1.jpg")</f>
        <v>し/しん　心腹堅大（余論見腹満）　1220　鍼灸資生経　王執中_ページ_1.jpg</v>
      </c>
    </row>
    <row r="2705" spans="1:2" x14ac:dyDescent="0.15">
      <c r="A2705" t="s">
        <v>2679</v>
      </c>
      <c r="B2705" t="str">
        <f>HYPERLINK("し/しん　心腹堅大（余論見腹満）　1220　鍼灸資生経　王執中_ページ_2.jpg")</f>
        <v>し/しん　心腹堅大（余論見腹満）　1220　鍼灸資生経　王執中_ページ_2.jpg</v>
      </c>
    </row>
    <row r="2706" spans="1:2" x14ac:dyDescent="0.15">
      <c r="A2706" t="s">
        <v>2680</v>
      </c>
      <c r="B2706" t="str">
        <f>HYPERLINK("し/しん　心腹満痛　附半身麻痺手足不仁　1329　扁鵲神応鍼灸玉龍経　元・王国瑞.jpg")</f>
        <v>し/しん　心腹満痛　附半身麻痺手足不仁　1329　扁鵲神応鍼灸玉龍経　元・王国瑞.jpg</v>
      </c>
    </row>
    <row r="2707" spans="1:2" x14ac:dyDescent="0.15">
      <c r="A2707" t="s">
        <v>2681</v>
      </c>
      <c r="B2707" t="str">
        <f>HYPERLINK("し/しん　心腹痛　1807　続名家灸選　平井庸信_ページ_1.jpg")</f>
        <v>し/しん　心腹痛　1807　続名家灸選　平井庸信_ページ_1.jpg</v>
      </c>
    </row>
    <row r="2708" spans="1:2" x14ac:dyDescent="0.15">
      <c r="A2708" t="s">
        <v>2682</v>
      </c>
      <c r="B2708" t="str">
        <f>HYPERLINK("し/しん　心腹痛　1807　続名家灸選　平井庸信_ページ_2.jpg")</f>
        <v>し/しん　心腹痛　1807　続名家灸選　平井庸信_ページ_2.jpg</v>
      </c>
    </row>
    <row r="2709" spans="1:2" x14ac:dyDescent="0.15">
      <c r="A2709" t="s">
        <v>2683</v>
      </c>
      <c r="B2709" t="str">
        <f>HYPERLINK("し/しん　心腹胸脇痛脹　1624　類経図翼　明・張介賓_ページ_1.jpg")</f>
        <v>し/しん　心腹胸脇痛脹　1624　類経図翼　明・張介賓_ページ_1.jpg</v>
      </c>
    </row>
    <row r="2710" spans="1:2" x14ac:dyDescent="0.15">
      <c r="A2710" t="s">
        <v>2684</v>
      </c>
      <c r="B2710" t="str">
        <f>HYPERLINK("し/しん　心腹胸脇痛脹　1624　類経図翼　明・張介賓_ページ_2.jpg")</f>
        <v>し/しん　心腹胸脇痛脹　1624　類経図翼　明・張介賓_ページ_2.jpg</v>
      </c>
    </row>
    <row r="2711" spans="1:2" x14ac:dyDescent="0.15">
      <c r="A2711" t="s">
        <v>2685</v>
      </c>
      <c r="B2711" t="str">
        <f>HYPERLINK("し/しん　心腹胸脇痛脹　1624　類経図翼　明・張介賓_ページ_3.jpg")</f>
        <v>し/しん　心腹胸脇痛脹　1624　類経図翼　明・張介賓_ページ_3.jpg</v>
      </c>
    </row>
    <row r="2712" spans="1:2" x14ac:dyDescent="0.15">
      <c r="A2712" t="s">
        <v>2686</v>
      </c>
      <c r="B2712" t="str">
        <f>HYPERLINK("し/しん　心腹胸脇痛脹　1624　類経図翼　明・張介賓_ページ_4.jpg")</f>
        <v>し/しん　心腹胸脇痛脹　1624　類経図翼　明・張介賓_ページ_4.jpg</v>
      </c>
    </row>
    <row r="2713" spans="1:2" x14ac:dyDescent="0.15">
      <c r="A2713" t="s">
        <v>2687</v>
      </c>
      <c r="B2713" t="str">
        <f>HYPERLINK("し/しん　心腹胸脇痛脹　1624　類経図翼　明・張介賓_ページ_5.jpg")</f>
        <v>し/しん　心腹胸脇痛脹　1624　類経図翼　明・張介賓_ページ_5.jpg</v>
      </c>
    </row>
    <row r="2714" spans="1:2" x14ac:dyDescent="0.15">
      <c r="A2714" t="s">
        <v>2688</v>
      </c>
      <c r="B2714" t="str">
        <f>HYPERLINK("し/しん　心腹胸脇痛脹　1761　挨穴捷径　杉原敦_ページ_1.jpg")</f>
        <v>し/しん　心腹胸脇痛脹　1761　挨穴捷径　杉原敦_ページ_1.jpg</v>
      </c>
    </row>
    <row r="2715" spans="1:2" x14ac:dyDescent="0.15">
      <c r="A2715" t="s">
        <v>2689</v>
      </c>
      <c r="B2715" t="str">
        <f>HYPERLINK("し/しん　心腹胸脇痛脹　1761　挨穴捷径　杉原敦_ページ_2.jpg")</f>
        <v>し/しん　心腹胸脇痛脹　1761　挨穴捷径　杉原敦_ページ_2.jpg</v>
      </c>
    </row>
    <row r="2716" spans="1:2" x14ac:dyDescent="0.15">
      <c r="A2716" t="s">
        <v>2690</v>
      </c>
      <c r="B2716" t="str">
        <f>HYPERLINK("し/しん　心腹胸脇痛脹　1761　挨穴捷径　杉原敦_ページ_3.jpg")</f>
        <v>し/しん　心腹胸脇痛脹　1761　挨穴捷径　杉原敦_ページ_3.jpg</v>
      </c>
    </row>
    <row r="2717" spans="1:2" x14ac:dyDescent="0.15">
      <c r="A2717" t="s">
        <v>2691</v>
      </c>
      <c r="B2717" t="str">
        <f>HYPERLINK("し/しん　心腹胸脇痛脹　1761　挨穴捷径　杉原敦_ページ_4.jpg")</f>
        <v>し/しん　心腹胸脇痛脹　1761　挨穴捷径　杉原敦_ページ_4.jpg</v>
      </c>
    </row>
    <row r="2718" spans="1:2" x14ac:dyDescent="0.15">
      <c r="A2718" t="s">
        <v>2692</v>
      </c>
      <c r="B2718" t="str">
        <f>HYPERLINK("し/しん　心風　きうつ　喜斯底里（キステリ）　1887（明治20）　鍼灸備要　青山道醇.jpg")</f>
        <v>し/しん　心風　きうつ　喜斯底里（キステリ）　1887（明治20）　鍼灸備要　青山道醇.jpg</v>
      </c>
    </row>
    <row r="2719" spans="1:2" x14ac:dyDescent="0.15">
      <c r="A2719" t="s">
        <v>2693</v>
      </c>
      <c r="B2719" t="str">
        <f>HYPERLINK("し/しん　心驚恐　1220　鍼灸資生経　王執中_ページ_1.jpg")</f>
        <v>し/しん　心驚恐　1220　鍼灸資生経　王執中_ページ_1.jpg</v>
      </c>
    </row>
    <row r="2720" spans="1:2" x14ac:dyDescent="0.15">
      <c r="A2720" t="s">
        <v>2694</v>
      </c>
      <c r="B2720" t="str">
        <f>HYPERLINK("し/しん　心驚恐　1220　鍼灸資生経　王執中_ページ_2.jpg")</f>
        <v>し/しん　心驚恐　1220　鍼灸資生経　王執中_ページ_2.jpg</v>
      </c>
    </row>
    <row r="2721" spans="1:2" x14ac:dyDescent="0.15">
      <c r="A2721" t="s">
        <v>2695</v>
      </c>
      <c r="B2721" t="str">
        <f>HYPERLINK("し/しん　真頭痛（しんづつう）　あたまのさけるほどいたむ病　脳膜炎　1887（明治20）　鍼灸備要　青山道醇.jpg")</f>
        <v>し/しん　真頭痛（しんづつう）　あたまのさけるほどいたむ病　脳膜炎　1887（明治20）　鍼灸備要　青山道醇.jpg</v>
      </c>
    </row>
    <row r="2722" spans="1:2" x14ac:dyDescent="0.15">
      <c r="A2722" t="s">
        <v>2696</v>
      </c>
      <c r="B2722" t="str">
        <f>HYPERLINK("し/しん　神経衰弱　1912年（大正01）　鍼灸手引草　久木田七郎_ページ_1.jpg")</f>
        <v>し/しん　神経衰弱　1912年（大正01）　鍼灸手引草　久木田七郎_ページ_1.jpg</v>
      </c>
    </row>
    <row r="2723" spans="1:2" x14ac:dyDescent="0.15">
      <c r="A2723" t="s">
        <v>2697</v>
      </c>
      <c r="B2723" t="str">
        <f>HYPERLINK("し/しん　神経衰弱　1912年（大正01）　鍼灸手引草　久木田七郎_ページ_2.jpg")</f>
        <v>し/しん　神経衰弱　1912年（大正01）　鍼灸手引草　久木田七郎_ページ_2.jpg</v>
      </c>
    </row>
    <row r="2724" spans="1:2" x14ac:dyDescent="0.15">
      <c r="A2724" t="s">
        <v>2698</v>
      </c>
      <c r="B2724" t="str">
        <f>HYPERLINK("し/しん　診脈（小児）　1669　鍼灸枢要　山本玄通_ページ_1.jpg")</f>
        <v>し/しん　診脈（小児）　1669　鍼灸枢要　山本玄通_ページ_1.jpg</v>
      </c>
    </row>
    <row r="2725" spans="1:2" x14ac:dyDescent="0.15">
      <c r="A2725" t="s">
        <v>2699</v>
      </c>
      <c r="B2725" t="str">
        <f>HYPERLINK("し/しん　診脈（小児）　1669　鍼灸枢要　山本玄通_ページ_2.jpg")</f>
        <v>し/しん　診脈（小児）　1669　鍼灸枢要　山本玄通_ページ_2.jpg</v>
      </c>
    </row>
    <row r="2726" spans="1:2" x14ac:dyDescent="0.15">
      <c r="A2726" t="s">
        <v>2700</v>
      </c>
      <c r="B2726" t="str">
        <f>HYPERLINK("し/しん　身体虚弱　1912年（大正01）　鍼灸手引草　久木田七郎.jpg")</f>
        <v>し/しん　身体虚弱　1912年（大正01）　鍼灸手引草　久木田七郎.jpg</v>
      </c>
    </row>
    <row r="2727" spans="1:2" x14ac:dyDescent="0.15">
      <c r="A2727" t="s">
        <v>2701</v>
      </c>
      <c r="B2727" t="str">
        <f>HYPERLINK("し/しん　身寒痺　1220　鍼灸資生経　王執中.jpg")</f>
        <v>し/しん　身寒痺　1220　鍼灸資生経　王執中.jpg</v>
      </c>
    </row>
    <row r="2728" spans="1:2" x14ac:dyDescent="0.15">
      <c r="A2728" t="s">
        <v>2702</v>
      </c>
      <c r="B2728" t="str">
        <f>HYPERLINK("し/しん　身痛　1329　扁鵲神応鍼灸玉龍経　元・王国瑞.jpg")</f>
        <v>し/しん　身痛　1329　扁鵲神応鍼灸玉龍経　元・王国瑞.jpg</v>
      </c>
    </row>
    <row r="2729" spans="1:2" x14ac:dyDescent="0.15">
      <c r="A2729" t="s">
        <v>2703</v>
      </c>
      <c r="B2729" t="str">
        <f>HYPERLINK("じ/じ　五痔　1563　鍼灸集要　曲直瀬道三.jpg")</f>
        <v>じ/じ　五痔　1563　鍼灸集要　曲直瀬道三.jpg</v>
      </c>
    </row>
    <row r="2730" spans="1:2" x14ac:dyDescent="0.15">
      <c r="A2730" t="s">
        <v>2704</v>
      </c>
      <c r="B2730" t="str">
        <f>HYPERLINK("じ/じ　五痔　下血　脱肛　1807　続名家灸選　平井庸信_ページ_1.jpg")</f>
        <v>じ/じ　五痔　下血　脱肛　1807　続名家灸選　平井庸信_ページ_1.jpg</v>
      </c>
    </row>
    <row r="2731" spans="1:2" x14ac:dyDescent="0.15">
      <c r="A2731" t="s">
        <v>2705</v>
      </c>
      <c r="B2731" t="str">
        <f>HYPERLINK("じ/じ　五痔　下血　脱肛　1807　続名家灸選　平井庸信_ページ_2.jpg")</f>
        <v>じ/じ　五痔　下血　脱肛　1807　続名家灸選　平井庸信_ページ_2.jpg</v>
      </c>
    </row>
    <row r="2732" spans="1:2" x14ac:dyDescent="0.15">
      <c r="A2732" t="s">
        <v>2706</v>
      </c>
      <c r="B2732" t="str">
        <f>HYPERLINK("じ/じ　時疫瘧疾　1329　扁鵲神応鍼灸玉龍経　元・王国瑞.jpg")</f>
        <v>じ/じ　時疫瘧疾　1329　扁鵲神応鍼灸玉龍経　元・王国瑞.jpg</v>
      </c>
    </row>
    <row r="2733" spans="1:2" x14ac:dyDescent="0.15">
      <c r="A2733" t="s">
        <v>2707</v>
      </c>
      <c r="B2733" t="str">
        <f>HYPERLINK("じ/じ　痔　0300　●足太陽脈動発下部痔脱且　第十二　鍼灸甲乙経　皇甫謐.jpg")</f>
        <v>じ/じ　痔　0300　●足太陽脈動発下部痔脱且　第十二　鍼灸甲乙経　皇甫謐.jpg</v>
      </c>
    </row>
    <row r="2734" spans="1:2" x14ac:dyDescent="0.15">
      <c r="A2734" t="s">
        <v>2708</v>
      </c>
      <c r="B2734" t="str">
        <f>HYPERLINK("じ/じ　痔　1220　鍼灸資生経　王執中_ページ_1.jpg")</f>
        <v>じ/じ　痔　1220　鍼灸資生経　王執中_ページ_1.jpg</v>
      </c>
    </row>
    <row r="2735" spans="1:2" x14ac:dyDescent="0.15">
      <c r="A2735" t="s">
        <v>2709</v>
      </c>
      <c r="B2735" t="str">
        <f>HYPERLINK("じ/じ　痔　1220　鍼灸資生経　王執中_ページ_2.jpg")</f>
        <v>じ/じ　痔　1220　鍼灸資生経　王執中_ページ_2.jpg</v>
      </c>
    </row>
    <row r="2736" spans="1:2" x14ac:dyDescent="0.15">
      <c r="A2736" t="s">
        <v>2710</v>
      </c>
      <c r="B2736" t="str">
        <f>HYPERLINK("じ/じ　痔　1594　経脈方寸秘書　曲直瀬道三.jpg")</f>
        <v>じ/じ　痔　1594　経脈方寸秘書　曲直瀬道三.jpg</v>
      </c>
    </row>
    <row r="2737" spans="1:2" x14ac:dyDescent="0.15">
      <c r="A2737" t="s">
        <v>2711</v>
      </c>
      <c r="B2737" t="str">
        <f>HYPERLINK("じ/じ　痔　1680　鍼灸抜萃　著者未詳.jpg")</f>
        <v>じ/じ　痔　1680　鍼灸抜萃　著者未詳.jpg</v>
      </c>
    </row>
    <row r="2738" spans="1:2" x14ac:dyDescent="0.15">
      <c r="A2738" t="s">
        <v>2712</v>
      </c>
      <c r="B2738" t="str">
        <f>HYPERLINK("じ/じ　痔　1694　選鍼三要集　杉山和一_ページ_1.jpg")</f>
        <v>じ/じ　痔　1694　選鍼三要集　杉山和一_ページ_1.jpg</v>
      </c>
    </row>
    <row r="2739" spans="1:2" x14ac:dyDescent="0.15">
      <c r="A2739" t="s">
        <v>2713</v>
      </c>
      <c r="B2739" t="str">
        <f>HYPERLINK("じ/じ　痔　1694　選鍼三要集　杉山和一_ページ_2.jpg")</f>
        <v>じ/じ　痔　1694　選鍼三要集　杉山和一_ページ_2.jpg</v>
      </c>
    </row>
    <row r="2740" spans="1:2" x14ac:dyDescent="0.15">
      <c r="A2740" t="s">
        <v>2714</v>
      </c>
      <c r="B2740" t="str">
        <f>HYPERLINK("じ/じ　痔　1696　広益鍼灸抜萃　著者未詳_ページ_1.jpg")</f>
        <v>じ/じ　痔　1696　広益鍼灸抜萃　著者未詳_ページ_1.jpg</v>
      </c>
    </row>
    <row r="2741" spans="1:2" x14ac:dyDescent="0.15">
      <c r="A2741" t="s">
        <v>2715</v>
      </c>
      <c r="B2741" t="str">
        <f>HYPERLINK("じ/じ　痔　1696　広益鍼灸抜萃　著者未詳_ページ_2.jpg")</f>
        <v>じ/じ　痔　1696　広益鍼灸抜萃　著者未詳_ページ_2.jpg</v>
      </c>
    </row>
    <row r="2742" spans="1:2" x14ac:dyDescent="0.15">
      <c r="A2742" t="s">
        <v>2716</v>
      </c>
      <c r="B2742" t="str">
        <f>HYPERLINK("じ/じ　痔　1696　広益鍼灸抜萃　著者未詳_ページ_3.jpg")</f>
        <v>じ/じ　痔　1696　広益鍼灸抜萃　著者未詳_ページ_3.jpg</v>
      </c>
    </row>
    <row r="2743" spans="1:2" x14ac:dyDescent="0.15">
      <c r="A2743" t="s">
        <v>2717</v>
      </c>
      <c r="B2743" t="str">
        <f>HYPERLINK("じ/じ　痔又痔瘻　1912年（大正01）　鍼灸手引草　久木田七郎.jpg")</f>
        <v>じ/じ　痔又痔瘻　1912年（大正01）　鍼灸手引草　久木田七郎.jpg</v>
      </c>
    </row>
    <row r="2744" spans="1:2" x14ac:dyDescent="0.15">
      <c r="A2744" t="s">
        <v>2718</v>
      </c>
      <c r="B2744" t="str">
        <f>HYPERLINK("じ/じ　痔漏　0650　痔瘻　千金方　孫思ばく.jpg")</f>
        <v>じ/じ　痔漏　0650　痔瘻　千金方　孫思ばく.jpg</v>
      </c>
    </row>
    <row r="2745" spans="1:2" x14ac:dyDescent="0.15">
      <c r="A2745" t="s">
        <v>2719</v>
      </c>
      <c r="B2745" t="str">
        <f>HYPERLINK("じ/じ　痔漏　1329　扁鵲神応鍼灸玉龍経　元・王国瑞_ページ_1.jpg")</f>
        <v>じ/じ　痔漏　1329　扁鵲神応鍼灸玉龍経　元・王国瑞_ページ_1.jpg</v>
      </c>
    </row>
    <row r="2746" spans="1:2" x14ac:dyDescent="0.15">
      <c r="A2746" t="s">
        <v>2720</v>
      </c>
      <c r="B2746" t="str">
        <f>HYPERLINK("じ/じ　痔漏　1329　扁鵲神応鍼灸玉龍経　元・王国瑞_ページ_2.jpg")</f>
        <v>じ/じ　痔漏　1329　扁鵲神応鍼灸玉龍経　元・王国瑞_ページ_2.jpg</v>
      </c>
    </row>
    <row r="2747" spans="1:2" x14ac:dyDescent="0.15">
      <c r="A2747" t="s">
        <v>2721</v>
      </c>
      <c r="B2747" t="str">
        <f>HYPERLINK("じ/じ　痔漏　1329　痔瘻　扁鵲神応鍼灸玉龍経　元・王国瑞.jpg")</f>
        <v>じ/じ　痔漏　1329　痔瘻　扁鵲神応鍼灸玉龍経　元・王国瑞.jpg</v>
      </c>
    </row>
    <row r="2748" spans="1:2" x14ac:dyDescent="0.15">
      <c r="A2748" t="s">
        <v>2722</v>
      </c>
      <c r="B2748" t="str">
        <f>HYPERLINK("じ/じ　痔漏　1574　兪穴参伍的法　秦宗巴_ページ_1.jpg")</f>
        <v>じ/じ　痔漏　1574　兪穴参伍的法　秦宗巴_ページ_1.jpg</v>
      </c>
    </row>
    <row r="2749" spans="1:2" x14ac:dyDescent="0.15">
      <c r="A2749" t="s">
        <v>2723</v>
      </c>
      <c r="B2749" t="str">
        <f>HYPERLINK("じ/じ　痔漏　1574　兪穴参伍的法　秦宗巴_ページ_2.jpg")</f>
        <v>じ/じ　痔漏　1574　兪穴参伍的法　秦宗巴_ページ_2.jpg</v>
      </c>
    </row>
    <row r="2750" spans="1:2" x14ac:dyDescent="0.15">
      <c r="A2750" t="s">
        <v>2724</v>
      </c>
      <c r="B2750" t="str">
        <f>HYPERLINK("じ/じ　痔漏　1624　類経図翼　明・張介賓_ページ_1.jpg")</f>
        <v>じ/じ　痔漏　1624　類経図翼　明・張介賓_ページ_1.jpg</v>
      </c>
    </row>
    <row r="2751" spans="1:2" x14ac:dyDescent="0.15">
      <c r="A2751" t="s">
        <v>2725</v>
      </c>
      <c r="B2751" t="str">
        <f>HYPERLINK("じ/じ　痔漏　1624　類経図翼　明・張介賓_ページ_2.jpg")</f>
        <v>じ/じ　痔漏　1624　類経図翼　明・張介賓_ページ_2.jpg</v>
      </c>
    </row>
    <row r="2752" spans="1:2" x14ac:dyDescent="0.15">
      <c r="A2752" t="s">
        <v>2726</v>
      </c>
      <c r="B2752" t="str">
        <f>HYPERLINK("じ/じ　痔漏　1669　鍼灸枢要　山本玄通_ページ_1.jpg")</f>
        <v>じ/じ　痔漏　1669　鍼灸枢要　山本玄通_ページ_1.jpg</v>
      </c>
    </row>
    <row r="2753" spans="1:2" x14ac:dyDescent="0.15">
      <c r="A2753" t="s">
        <v>2727</v>
      </c>
      <c r="B2753" t="str">
        <f>HYPERLINK("じ/じ　痔漏　1669　鍼灸枢要　山本玄通_ページ_2.jpg")</f>
        <v>じ/じ　痔漏　1669　鍼灸枢要　山本玄通_ページ_2.jpg</v>
      </c>
    </row>
    <row r="2754" spans="1:2" x14ac:dyDescent="0.15">
      <c r="A2754" t="s">
        <v>2728</v>
      </c>
      <c r="B2754" t="str">
        <f>HYPERLINK("じ/じ　痔漏　1669　鍼灸枢要　山本玄通_ページ_3.jpg")</f>
        <v>じ/じ　痔漏　1669　鍼灸枢要　山本玄通_ページ_3.jpg</v>
      </c>
    </row>
    <row r="2755" spans="1:2" x14ac:dyDescent="0.15">
      <c r="A2755" t="s">
        <v>2729</v>
      </c>
      <c r="B2755" t="str">
        <f>HYPERLINK("じ/じ　痔漏　1686　鍼灸要法指南　岩田利斎_ページ_1.jpg")</f>
        <v>じ/じ　痔漏　1686　鍼灸要法指南　岩田利斎_ページ_1.jpg</v>
      </c>
    </row>
    <row r="2756" spans="1:2" x14ac:dyDescent="0.15">
      <c r="A2756" t="s">
        <v>2730</v>
      </c>
      <c r="B2756" t="str">
        <f>HYPERLINK("じ/じ　痔漏　1686　鍼灸要法指南　岩田利斎_ページ_2.jpg")</f>
        <v>じ/じ　痔漏　1686　鍼灸要法指南　岩田利斎_ページ_2.jpg</v>
      </c>
    </row>
    <row r="2757" spans="1:2" x14ac:dyDescent="0.15">
      <c r="A2757" t="s">
        <v>2731</v>
      </c>
      <c r="B2757" t="str">
        <f>HYPERLINK("じ/じ　痔漏　1693　鍼灸要歌集　安井昌玄_ページ_1.jpg")</f>
        <v>じ/じ　痔漏　1693　鍼灸要歌集　安井昌玄_ページ_1.jpg</v>
      </c>
    </row>
    <row r="2758" spans="1:2" x14ac:dyDescent="0.15">
      <c r="A2758" t="s">
        <v>2732</v>
      </c>
      <c r="B2758" t="str">
        <f>HYPERLINK("じ/じ　痔漏　1693　鍼灸要歌集　安井昌玄_ページ_2.jpg")</f>
        <v>じ/じ　痔漏　1693　鍼灸要歌集　安井昌玄_ページ_2.jpg</v>
      </c>
    </row>
    <row r="2759" spans="1:2" x14ac:dyDescent="0.15">
      <c r="A2759" t="s">
        <v>2733</v>
      </c>
      <c r="B2759" t="str">
        <f>HYPERLINK("じ/じ　痔漏　1694　鍼灸そかい集　高津敬節.jpg")</f>
        <v>じ/じ　痔漏　1694　鍼灸そかい集　高津敬節.jpg</v>
      </c>
    </row>
    <row r="2760" spans="1:2" x14ac:dyDescent="0.15">
      <c r="A2760" t="s">
        <v>2734</v>
      </c>
      <c r="B2760" t="str">
        <f>HYPERLINK("じ/じ　痔漏　1698　鍼灸抜粋大成　岡本一抱_ページ_1.jpg")</f>
        <v>じ/じ　痔漏　1698　鍼灸抜粋大成　岡本一抱_ページ_1.jpg</v>
      </c>
    </row>
    <row r="2761" spans="1:2" x14ac:dyDescent="0.15">
      <c r="A2761" t="s">
        <v>2735</v>
      </c>
      <c r="B2761" t="str">
        <f>HYPERLINK("じ/じ　痔漏　1698　鍼灸抜粋大成　岡本一抱_ページ_2.jpg")</f>
        <v>じ/じ　痔漏　1698　鍼灸抜粋大成　岡本一抱_ページ_2.jpg</v>
      </c>
    </row>
    <row r="2762" spans="1:2" x14ac:dyDescent="0.15">
      <c r="A2762" t="s">
        <v>2736</v>
      </c>
      <c r="B2762" t="str">
        <f>HYPERLINK("じ/じ　痔漏　1718　いぼぢ・あなぢ　鍼灸重宝記　本郷正豊_ページ_1.jpg")</f>
        <v>じ/じ　痔漏　1718　いぼぢ・あなぢ　鍼灸重宝記　本郷正豊_ページ_1.jpg</v>
      </c>
    </row>
    <row r="2763" spans="1:2" x14ac:dyDescent="0.15">
      <c r="A2763" t="s">
        <v>2737</v>
      </c>
      <c r="B2763" t="str">
        <f>HYPERLINK("じ/じ　痔漏　1718　いぼぢ・あなぢ　鍼灸重宝記　本郷正豊_ページ_2.jpg")</f>
        <v>じ/じ　痔漏　1718　いぼぢ・あなぢ　鍼灸重宝記　本郷正豊_ページ_2.jpg</v>
      </c>
    </row>
    <row r="2764" spans="1:2" x14ac:dyDescent="0.15">
      <c r="A2764" t="s">
        <v>2738</v>
      </c>
      <c r="B2764" t="str">
        <f>HYPERLINK("じ/じ　痔漏　1767　鍼灸則　菅沼周桂.jpg")</f>
        <v>じ/じ　痔漏　1767　鍼灸則　菅沼周桂.jpg</v>
      </c>
    </row>
    <row r="2765" spans="1:2" x14ac:dyDescent="0.15">
      <c r="A2765" t="s">
        <v>2739</v>
      </c>
      <c r="B2765" t="str">
        <f>HYPERLINK("じ/じ　痔漏　1773　鍼灸手引草　大簡室主人_ページ_1.jpg")</f>
        <v>じ/じ　痔漏　1773　鍼灸手引草　大簡室主人_ページ_1.jpg</v>
      </c>
    </row>
    <row r="2766" spans="1:2" x14ac:dyDescent="0.15">
      <c r="A2766" t="s">
        <v>2740</v>
      </c>
      <c r="B2766" t="str">
        <f>HYPERLINK("じ/じ　痔漏　1773　鍼灸手引草　大簡室主人_ページ_2.jpg")</f>
        <v>じ/じ　痔漏　1773　鍼灸手引草　大簡室主人_ページ_2.jpg</v>
      </c>
    </row>
    <row r="2767" spans="1:2" x14ac:dyDescent="0.15">
      <c r="A2767" t="s">
        <v>2741</v>
      </c>
      <c r="B2767" t="str">
        <f>HYPERLINK("じ/じ　痔漏　1792　鍼法要集　源長起_ページ_1.jpg")</f>
        <v>じ/じ　痔漏　1792　鍼法要集　源長起_ページ_1.jpg</v>
      </c>
    </row>
    <row r="2768" spans="1:2" x14ac:dyDescent="0.15">
      <c r="A2768" t="s">
        <v>2742</v>
      </c>
      <c r="B2768" t="str">
        <f>HYPERLINK("じ/じ　痔漏　1792　鍼法要集　源長起_ページ_2.jpg")</f>
        <v>じ/じ　痔漏　1792　鍼法要集　源長起_ページ_2.jpg</v>
      </c>
    </row>
    <row r="2769" spans="1:2" x14ac:dyDescent="0.15">
      <c r="A2769" t="s">
        <v>2743</v>
      </c>
      <c r="B2769" t="str">
        <f>HYPERLINK("じ/じ　痔漏　1800　鍼灸備要　小坂元祐_ページ_1.jpg")</f>
        <v>じ/じ　痔漏　1800　鍼灸備要　小坂元祐_ページ_1.jpg</v>
      </c>
    </row>
    <row r="2770" spans="1:2" x14ac:dyDescent="0.15">
      <c r="A2770" t="s">
        <v>2744</v>
      </c>
      <c r="B2770" t="str">
        <f>HYPERLINK("じ/じ　痔漏　1800　鍼灸備要　小坂元祐_ページ_2.jpg")</f>
        <v>じ/じ　痔漏　1800　鍼灸備要　小坂元祐_ページ_2.jpg</v>
      </c>
    </row>
    <row r="2771" spans="1:2" x14ac:dyDescent="0.15">
      <c r="A2771" t="s">
        <v>2745</v>
      </c>
      <c r="B2771" t="str">
        <f>HYPERLINK("じ/じ　痔漏　1800　鍼灸備要　小坂元祐_ページ_3.jpg")</f>
        <v>じ/じ　痔漏　1800　鍼灸備要　小坂元祐_ページ_3.jpg</v>
      </c>
    </row>
    <row r="2772" spans="1:2" x14ac:dyDescent="0.15">
      <c r="A2772" t="s">
        <v>2746</v>
      </c>
      <c r="B2772" t="str">
        <f>HYPERLINK("じ/じ　痔漏　ちらう　肛門瘻（ろう）　1887（明治20）　鍼灸備要　青山道醇.jpg")</f>
        <v>じ/じ　痔漏　ちらう　肛門瘻（ろう）　1887（明治20）　鍼灸備要　青山道醇.jpg</v>
      </c>
    </row>
    <row r="2773" spans="1:2" x14ac:dyDescent="0.15">
      <c r="A2773" t="s">
        <v>2747</v>
      </c>
      <c r="B2773" t="str">
        <f>HYPERLINK("じ/じ　痔漏　下血　1758　灸ぜつ塩土伝　三宅意安_ページ_1.jpg")</f>
        <v>じ/じ　痔漏　下血　1758　灸ぜつ塩土伝　三宅意安_ページ_1.jpg</v>
      </c>
    </row>
    <row r="2774" spans="1:2" x14ac:dyDescent="0.15">
      <c r="A2774" t="s">
        <v>2748</v>
      </c>
      <c r="B2774" t="str">
        <f>HYPERLINK("じ/じ　痔漏　下血　1758　灸ぜつ塩土伝　三宅意安_ページ_2.jpg")</f>
        <v>じ/じ　痔漏　下血　1758　灸ぜつ塩土伝　三宅意安_ページ_2.jpg</v>
      </c>
    </row>
    <row r="2775" spans="1:2" x14ac:dyDescent="0.15">
      <c r="A2775" t="s">
        <v>2749</v>
      </c>
      <c r="B2775" t="str">
        <f>HYPERLINK("じ/じ　痔漏　脱肛　1813　名家灸選　浅井惟亨_ページ_1.jpg")</f>
        <v>じ/じ　痔漏　脱肛　1813　名家灸選　浅井惟亨_ページ_1.jpg</v>
      </c>
    </row>
    <row r="2776" spans="1:2" x14ac:dyDescent="0.15">
      <c r="A2776" t="s">
        <v>2750</v>
      </c>
      <c r="B2776" t="str">
        <f>HYPERLINK("じ/じ　痔漏　脱肛　1813　名家灸選　浅井惟亨_ページ_2.jpg")</f>
        <v>じ/じ　痔漏　脱肛　1813　名家灸選　浅井惟亨_ページ_2.jpg</v>
      </c>
    </row>
    <row r="2777" spans="1:2" x14ac:dyDescent="0.15">
      <c r="A2777" t="s">
        <v>2751</v>
      </c>
      <c r="B2777" t="str">
        <f>HYPERLINK("じ/じ　痔漏　脱肛　成書年未詳　灸穴集　著者未詳_ページ_1.jpg")</f>
        <v>じ/じ　痔漏　脱肛　成書年未詳　灸穴集　著者未詳_ページ_1.jpg</v>
      </c>
    </row>
    <row r="2778" spans="1:2" x14ac:dyDescent="0.15">
      <c r="A2778" t="s">
        <v>2752</v>
      </c>
      <c r="B2778" t="str">
        <f>HYPERLINK("じ/じ　痔漏　脱肛　成書年未詳　灸穴集　著者未詳_ページ_2.jpg")</f>
        <v>じ/じ　痔漏　脱肛　成書年未詳　灸穴集　著者未詳_ページ_2.jpg</v>
      </c>
    </row>
    <row r="2779" spans="1:2" x14ac:dyDescent="0.15">
      <c r="A2779" t="s">
        <v>2753</v>
      </c>
      <c r="B2779" t="str">
        <f>HYPERLINK("じ/じ　痔漏　脱肛　成書年未詳　灸穴集　著者未詳_ページ_3.jpg")</f>
        <v>じ/じ　痔漏　脱肛　成書年未詳　灸穴集　著者未詳_ページ_3.jpg</v>
      </c>
    </row>
    <row r="2780" spans="1:2" x14ac:dyDescent="0.15">
      <c r="A2780" t="s">
        <v>2754</v>
      </c>
      <c r="B2780" t="str">
        <f>HYPERLINK("じ/じ　痔漏　脱肛　成書年未詳　灸穴集　著者未詳_ページ_4.jpg")</f>
        <v>じ/じ　痔漏　脱肛　成書年未詳　灸穴集　著者未詳_ページ_4.jpg</v>
      </c>
    </row>
    <row r="2781" spans="1:2" x14ac:dyDescent="0.15">
      <c r="A2781" t="s">
        <v>2755</v>
      </c>
      <c r="B2781" t="str">
        <f>HYPERLINK("じ/じ　痔漏　脱肛　成書年未詳　灸穴集　著者未詳_ページ_5.jpg")</f>
        <v>じ/じ　痔漏　脱肛　成書年未詳　灸穴集　著者未詳_ページ_5.jpg</v>
      </c>
    </row>
    <row r="2782" spans="1:2" x14ac:dyDescent="0.15">
      <c r="A2782" t="s">
        <v>2756</v>
      </c>
      <c r="B2782" t="str">
        <f>HYPERLINK("じ/じ　痔疾　1224　医説　宋・張杲_ページ_1.jpg")</f>
        <v>じ/じ　痔疾　1224　医説　宋・張杲_ページ_1.jpg</v>
      </c>
    </row>
    <row r="2783" spans="1:2" x14ac:dyDescent="0.15">
      <c r="A2783" t="s">
        <v>2757</v>
      </c>
      <c r="B2783" t="str">
        <f>HYPERLINK("じ/じ　痔疾　1224　医説　宋・張杲_ページ_2.jpg")</f>
        <v>じ/じ　痔疾　1224　医説　宋・張杲_ページ_2.jpg</v>
      </c>
    </row>
    <row r="2784" spans="1:2" x14ac:dyDescent="0.15">
      <c r="A2784" t="s">
        <v>2758</v>
      </c>
      <c r="B2784" t="str">
        <f>HYPERLINK("じ/じ　痔病　ぢのやまひ、又、しりのやまひ　痔疾　1887（明治20）　鍼灸備要　青山道醇.jpg")</f>
        <v>じ/じ　痔病　ぢのやまひ、又、しりのやまひ　痔疾　1887（明治20）　鍼灸備要　青山道醇.jpg</v>
      </c>
    </row>
    <row r="2785" spans="1:2" x14ac:dyDescent="0.15">
      <c r="A2785" t="s">
        <v>2759</v>
      </c>
      <c r="B2785" t="str">
        <f>HYPERLINK("じ/じ　耳　0650　千金方　孫思ばく.jpg")</f>
        <v>じ/じ　耳　0650　千金方　孫思ばく.jpg</v>
      </c>
    </row>
    <row r="2786" spans="1:2" x14ac:dyDescent="0.15">
      <c r="A2786" t="s">
        <v>2760</v>
      </c>
      <c r="B2786" t="str">
        <f>HYPERLINK("じ/じ　耳　1563　鍼灸集要　曲直瀬道三.jpg")</f>
        <v>じ/じ　耳　1563　鍼灸集要　曲直瀬道三.jpg</v>
      </c>
    </row>
    <row r="2787" spans="1:2" x14ac:dyDescent="0.15">
      <c r="A2787" t="s">
        <v>2761</v>
      </c>
      <c r="B2787" t="str">
        <f>HYPERLINK("じ/じ　耳　1574　兪穴参伍的法　秦宗巴.jpg")</f>
        <v>じ/じ　耳　1574　兪穴参伍的法　秦宗巴.jpg</v>
      </c>
    </row>
    <row r="2788" spans="1:2" x14ac:dyDescent="0.15">
      <c r="A2788" t="s">
        <v>2762</v>
      </c>
      <c r="B2788" t="str">
        <f>HYPERLINK("じ/じ　耳　1607　扁鵲新流鍼書　越齋寿閑.jpg")</f>
        <v>じ/じ　耳　1607　扁鵲新流鍼書　越齋寿閑.jpg</v>
      </c>
    </row>
    <row r="2789" spans="1:2" x14ac:dyDescent="0.15">
      <c r="A2789" t="s">
        <v>2763</v>
      </c>
      <c r="B2789" t="str">
        <f>HYPERLINK("じ/じ　耳　1669　鍼灸枢要　山本玄通_ページ_1.jpg")</f>
        <v>じ/じ　耳　1669　鍼灸枢要　山本玄通_ページ_1.jpg</v>
      </c>
    </row>
    <row r="2790" spans="1:2" x14ac:dyDescent="0.15">
      <c r="A2790" t="s">
        <v>2764</v>
      </c>
      <c r="B2790" t="str">
        <f>HYPERLINK("じ/じ　耳　1669　鍼灸枢要　山本玄通_ページ_2.jpg")</f>
        <v>じ/じ　耳　1669　鍼灸枢要　山本玄通_ページ_2.jpg</v>
      </c>
    </row>
    <row r="2791" spans="1:2" x14ac:dyDescent="0.15">
      <c r="A2791" t="s">
        <v>2765</v>
      </c>
      <c r="B2791" t="str">
        <f>HYPERLINK("じ/じ　耳　1669　鍼灸枢要　山本玄通_ページ_3.jpg")</f>
        <v>じ/じ　耳　1669　鍼灸枢要　山本玄通_ページ_3.jpg</v>
      </c>
    </row>
    <row r="2792" spans="1:2" x14ac:dyDescent="0.15">
      <c r="A2792" t="s">
        <v>2766</v>
      </c>
      <c r="B2792" t="str">
        <f>HYPERLINK("じ/じ　耳　1669　鍼灸枢要　山本玄通_ページ_4.jpg")</f>
        <v>じ/じ　耳　1669　鍼灸枢要　山本玄通_ページ_4.jpg</v>
      </c>
    </row>
    <row r="2793" spans="1:2" x14ac:dyDescent="0.15">
      <c r="A2793" t="s">
        <v>2767</v>
      </c>
      <c r="B2793" t="str">
        <f>HYPERLINK("じ/じ　耳　1669　鍼灸枢要　山本玄通_ページ_5.jpg")</f>
        <v>じ/じ　耳　1669　鍼灸枢要　山本玄通_ページ_5.jpg</v>
      </c>
    </row>
    <row r="2794" spans="1:2" x14ac:dyDescent="0.15">
      <c r="A2794" t="s">
        <v>2768</v>
      </c>
      <c r="B2794" t="str">
        <f>HYPERLINK("じ/じ　耳　1669　鍼灸枢要　山本玄通_ページ_6.jpg")</f>
        <v>じ/じ　耳　1669　鍼灸枢要　山本玄通_ページ_6.jpg</v>
      </c>
    </row>
    <row r="2795" spans="1:2" x14ac:dyDescent="0.15">
      <c r="A2795" t="s">
        <v>2769</v>
      </c>
      <c r="B2795" t="str">
        <f>HYPERLINK("じ/じ　耳　1679　鍼法奇貨　渡辺東伯_ページ_1.jpg")</f>
        <v>じ/じ　耳　1679　鍼法奇貨　渡辺東伯_ページ_1.jpg</v>
      </c>
    </row>
    <row r="2796" spans="1:2" x14ac:dyDescent="0.15">
      <c r="A2796" t="s">
        <v>2770</v>
      </c>
      <c r="B2796" t="str">
        <f>HYPERLINK("じ/じ　耳　1679　鍼法奇貨　渡辺東伯_ページ_2.jpg")</f>
        <v>じ/じ　耳　1679　鍼法奇貨　渡辺東伯_ページ_2.jpg</v>
      </c>
    </row>
    <row r="2797" spans="1:2" x14ac:dyDescent="0.15">
      <c r="A2797" t="s">
        <v>2771</v>
      </c>
      <c r="B2797" t="str">
        <f>HYPERLINK("じ/じ　耳　1679　鍼法奇貨　渡辺東伯_ページ_3.jpg")</f>
        <v>じ/じ　耳　1679　鍼法奇貨　渡辺東伯_ページ_3.jpg</v>
      </c>
    </row>
    <row r="2798" spans="1:2" x14ac:dyDescent="0.15">
      <c r="A2798" t="s">
        <v>2772</v>
      </c>
      <c r="B2798" t="str">
        <f>HYPERLINK("じ/じ　耳　1680　鍼灸抜萃　著者未詳.jpg")</f>
        <v>じ/じ　耳　1680　鍼灸抜萃　著者未詳.jpg</v>
      </c>
    </row>
    <row r="2799" spans="1:2" x14ac:dyDescent="0.15">
      <c r="A2799" t="s">
        <v>2773</v>
      </c>
      <c r="B2799" t="str">
        <f>HYPERLINK("じ/じ　耳　1686　鍼灸要法指南　岩田利斎.jpg")</f>
        <v>じ/じ　耳　1686　鍼灸要法指南　岩田利斎.jpg</v>
      </c>
    </row>
    <row r="2800" spans="1:2" x14ac:dyDescent="0.15">
      <c r="A2800" t="s">
        <v>2774</v>
      </c>
      <c r="B2800" t="str">
        <f>HYPERLINK("じ/じ　耳　1693　鍼灸要歌集　安井昌玄.jpg")</f>
        <v>じ/じ　耳　1693　鍼灸要歌集　安井昌玄.jpg</v>
      </c>
    </row>
    <row r="2801" spans="1:2" x14ac:dyDescent="0.15">
      <c r="A2801" t="s">
        <v>2775</v>
      </c>
      <c r="B2801" t="str">
        <f>HYPERLINK("じ/じ　耳　1694　鍼灸そかい集　高津敬節_ページ_1.jpg")</f>
        <v>じ/じ　耳　1694　鍼灸そかい集　高津敬節_ページ_1.jpg</v>
      </c>
    </row>
    <row r="2802" spans="1:2" x14ac:dyDescent="0.15">
      <c r="A2802" t="s">
        <v>2776</v>
      </c>
      <c r="B2802" t="str">
        <f>HYPERLINK("じ/じ　耳　1694　鍼灸そかい集　高津敬節_ページ_2.jpg")</f>
        <v>じ/じ　耳　1694　鍼灸そかい集　高津敬節_ページ_2.jpg</v>
      </c>
    </row>
    <row r="2803" spans="1:2" x14ac:dyDescent="0.15">
      <c r="A2803" t="s">
        <v>2777</v>
      </c>
      <c r="B2803" t="str">
        <f>HYPERLINK("じ/じ　耳　1696　広益鍼灸抜萃　著者未詳_ページ_1.jpg")</f>
        <v>じ/じ　耳　1696　広益鍼灸抜萃　著者未詳_ページ_1.jpg</v>
      </c>
    </row>
    <row r="2804" spans="1:2" x14ac:dyDescent="0.15">
      <c r="A2804" t="s">
        <v>2778</v>
      </c>
      <c r="B2804" t="str">
        <f>HYPERLINK("じ/じ　耳　1696　広益鍼灸抜萃　著者未詳_ページ_2.jpg")</f>
        <v>じ/じ　耳　1696　広益鍼灸抜萃　著者未詳_ページ_2.jpg</v>
      </c>
    </row>
    <row r="2805" spans="1:2" x14ac:dyDescent="0.15">
      <c r="A2805" t="s">
        <v>2779</v>
      </c>
      <c r="B2805" t="str">
        <f>HYPERLINK("じ/じ　耳　1698　鍼灸抜粋大成　岡本一抱.jpg")</f>
        <v>じ/じ　耳　1698　鍼灸抜粋大成　岡本一抱.jpg</v>
      </c>
    </row>
    <row r="2806" spans="1:2" x14ac:dyDescent="0.15">
      <c r="A2806" t="s">
        <v>2780</v>
      </c>
      <c r="B2806" t="str">
        <f>HYPERLINK("じ/じ　耳　1718　鍼灸重宝記　本郷正豊.jpg")</f>
        <v>じ/じ　耳　1718　鍼灸重宝記　本郷正豊.jpg</v>
      </c>
    </row>
    <row r="2807" spans="1:2" x14ac:dyDescent="0.15">
      <c r="A2807" t="s">
        <v>2781</v>
      </c>
      <c r="B2807" t="str">
        <f>HYPERLINK("じ/じ　耳　1767　鍼灸則　菅沼周桂_ページ_1.jpg")</f>
        <v>じ/じ　耳　1767　鍼灸則　菅沼周桂_ページ_1.jpg</v>
      </c>
    </row>
    <row r="2808" spans="1:2" x14ac:dyDescent="0.15">
      <c r="A2808" t="s">
        <v>2782</v>
      </c>
      <c r="B2808" t="str">
        <f>HYPERLINK("じ/じ　耳　1767　鍼灸則　菅沼周桂_ページ_2.jpg")</f>
        <v>じ/じ　耳　1767　鍼灸則　菅沼周桂_ページ_2.jpg</v>
      </c>
    </row>
    <row r="2809" spans="1:2" x14ac:dyDescent="0.15">
      <c r="A2809" t="s">
        <v>2783</v>
      </c>
      <c r="B2809" t="str">
        <f>HYPERLINK("じ/じ　耳　1767　鍼灸則　菅沼周桂_ページ_3.jpg")</f>
        <v>じ/じ　耳　1767　鍼灸則　菅沼周桂_ページ_3.jpg</v>
      </c>
    </row>
    <row r="2810" spans="1:2" x14ac:dyDescent="0.15">
      <c r="A2810" t="s">
        <v>2784</v>
      </c>
      <c r="B2810" t="str">
        <f>HYPERLINK("じ/じ　耳　1773　鍼灸手引草　大簡室主人_ページ_1.jpg")</f>
        <v>じ/じ　耳　1773　鍼灸手引草　大簡室主人_ページ_1.jpg</v>
      </c>
    </row>
    <row r="2811" spans="1:2" x14ac:dyDescent="0.15">
      <c r="A2811" t="s">
        <v>2785</v>
      </c>
      <c r="B2811" t="str">
        <f>HYPERLINK("じ/じ　耳　1773　鍼灸手引草　大簡室主人_ページ_2.jpg")</f>
        <v>じ/じ　耳　1773　鍼灸手引草　大簡室主人_ページ_2.jpg</v>
      </c>
    </row>
    <row r="2812" spans="1:2" x14ac:dyDescent="0.15">
      <c r="A2812" t="s">
        <v>2786</v>
      </c>
      <c r="B2812" t="str">
        <f>HYPERLINK("じ/じ　耳　1792　鍼法要集　源長起_ページ_1.jpg")</f>
        <v>じ/じ　耳　1792　鍼法要集　源長起_ページ_1.jpg</v>
      </c>
    </row>
    <row r="2813" spans="1:2" x14ac:dyDescent="0.15">
      <c r="A2813" t="s">
        <v>2787</v>
      </c>
      <c r="B2813" t="str">
        <f>HYPERLINK("じ/じ　耳　1792　鍼法要集　源長起_ページ_2.jpg")</f>
        <v>じ/じ　耳　1792　鍼法要集　源長起_ページ_2.jpg</v>
      </c>
    </row>
    <row r="2814" spans="1:2" x14ac:dyDescent="0.15">
      <c r="A2814" t="s">
        <v>2788</v>
      </c>
      <c r="B2814" t="str">
        <f>HYPERLINK("じ/じ　耳　1800　鍼灸備要　小坂元祐_ページ_1.jpg")</f>
        <v>じ/じ　耳　1800　鍼灸備要　小坂元祐_ページ_1.jpg</v>
      </c>
    </row>
    <row r="2815" spans="1:2" x14ac:dyDescent="0.15">
      <c r="A2815" t="s">
        <v>2789</v>
      </c>
      <c r="B2815" t="str">
        <f>HYPERLINK("じ/じ　耳　1800　鍼灸備要　小坂元祐_ページ_2.jpg")</f>
        <v>じ/じ　耳　1800　鍼灸備要　小坂元祐_ページ_2.jpg</v>
      </c>
    </row>
    <row r="2816" spans="1:2" x14ac:dyDescent="0.15">
      <c r="A2816" t="s">
        <v>2790</v>
      </c>
      <c r="B2816" t="str">
        <f>HYPERLINK("じ/じ　耳　1800　鍼灸備要　小坂元祐_ページ_3.jpg")</f>
        <v>じ/じ　耳　1800　鍼灸備要　小坂元祐_ページ_3.jpg</v>
      </c>
    </row>
    <row r="2817" spans="1:2" x14ac:dyDescent="0.15">
      <c r="A2817" t="s">
        <v>2791</v>
      </c>
      <c r="B2817" t="str">
        <f>HYPERLINK("じ/じ　耳　成書年未詳　灸穴集　著者未詳_ページ_1.jpg")</f>
        <v>じ/じ　耳　成書年未詳　灸穴集　著者未詳_ページ_1.jpg</v>
      </c>
    </row>
    <row r="2818" spans="1:2" x14ac:dyDescent="0.15">
      <c r="A2818" t="s">
        <v>2792</v>
      </c>
      <c r="B2818" t="str">
        <f>HYPERLINK("じ/じ　耳　成書年未詳　灸穴集　著者未詳_ページ_2.jpg")</f>
        <v>じ/じ　耳　成書年未詳　灸穴集　著者未詳_ページ_2.jpg</v>
      </c>
    </row>
    <row r="2819" spans="1:2" x14ac:dyDescent="0.15">
      <c r="A2819" t="s">
        <v>2793</v>
      </c>
      <c r="B2819" t="str">
        <f>HYPERLINK("じ/じ　耳　成書年未詳　灸穴集　著者未詳_ページ_3.jpg")</f>
        <v>じ/じ　耳　成書年未詳　灸穴集　著者未詳_ページ_3.jpg</v>
      </c>
    </row>
    <row r="2820" spans="1:2" x14ac:dyDescent="0.15">
      <c r="A2820" t="s">
        <v>2794</v>
      </c>
      <c r="B2820" t="str">
        <f>HYPERLINK("じ/じ　耳　成書年未詳　灸穴集　著者未詳_ページ_4.jpg")</f>
        <v>じ/じ　耳　成書年未詳　灸穴集　著者未詳_ページ_4.jpg</v>
      </c>
    </row>
    <row r="2821" spans="1:2" x14ac:dyDescent="0.15">
      <c r="A2821" t="s">
        <v>2795</v>
      </c>
      <c r="B2821" t="str">
        <f>HYPERLINK("じ/じ　耳　成書年未詳　灸穴集　著者未詳_ページ_5.jpg")</f>
        <v>じ/じ　耳　成書年未詳　灸穴集　著者未詳_ページ_5.jpg</v>
      </c>
    </row>
    <row r="2822" spans="1:2" x14ac:dyDescent="0.15">
      <c r="A2822" t="s">
        <v>2796</v>
      </c>
      <c r="B2822" t="str">
        <f>HYPERLINK("じ/じ　耳　成書年未詳　経穴図解　著者未詳.jpg")</f>
        <v>じ/じ　耳　成書年未詳　経穴図解　著者未詳.jpg</v>
      </c>
    </row>
    <row r="2823" spans="1:2" x14ac:dyDescent="0.15">
      <c r="A2823" t="s">
        <v>2797</v>
      </c>
      <c r="B2823" t="str">
        <f>HYPERLINK("じ/じ　耳　成書年未詳　経穴図解　著者未詳_ページ_1.jpg")</f>
        <v>じ/じ　耳　成書年未詳　経穴図解　著者未詳_ページ_1.jpg</v>
      </c>
    </row>
    <row r="2824" spans="1:2" x14ac:dyDescent="0.15">
      <c r="A2824" t="s">
        <v>2798</v>
      </c>
      <c r="B2824" t="str">
        <f>HYPERLINK("じ/じ　耳　成書年未詳　経穴図解　著者未詳_ページ_2.jpg")</f>
        <v>じ/じ　耳　成書年未詳　経穴図解　著者未詳_ページ_2.jpg</v>
      </c>
    </row>
    <row r="2825" spans="1:2" x14ac:dyDescent="0.15">
      <c r="A2825" t="s">
        <v>2799</v>
      </c>
      <c r="B2825" t="str">
        <f>HYPERLINK("じ/じ　耳　成書年未詳　経穴図解　著者未詳_ページ_3.jpg")</f>
        <v>じ/じ　耳　成書年未詳　経穴図解　著者未詳_ページ_3.jpg</v>
      </c>
    </row>
    <row r="2826" spans="1:2" x14ac:dyDescent="0.15">
      <c r="A2826" t="s">
        <v>2800</v>
      </c>
      <c r="B2826" t="str">
        <f>HYPERLINK("じ/じ　耳病　0300　●手太陽少陽脈動発耳病　第五　鍼灸甲乙経　皇甫謐_ページ_1.jpg")</f>
        <v>じ/じ　耳病　0300　●手太陽少陽脈動発耳病　第五　鍼灸甲乙経　皇甫謐_ページ_1.jpg</v>
      </c>
    </row>
    <row r="2827" spans="1:2" x14ac:dyDescent="0.15">
      <c r="A2827" t="s">
        <v>2801</v>
      </c>
      <c r="B2827" t="str">
        <f>HYPERLINK("じ/じ　耳病　0300　●手太陽少陽脈動発耳病　第五　鍼灸甲乙経　皇甫謐_ページ_2.jpg")</f>
        <v>じ/じ　耳病　0300　●手太陽少陽脈動発耳病　第五　鍼灸甲乙経　皇甫謐_ページ_2.jpg</v>
      </c>
    </row>
    <row r="2828" spans="1:2" x14ac:dyDescent="0.15">
      <c r="A2828" t="s">
        <v>2802</v>
      </c>
      <c r="B2828" t="str">
        <f>HYPERLINK("じ/じ　耳痛（につう）　みみいたみ　耳神経痛　1887（明治20）　鍼灸備要　青山道醇.jpg")</f>
        <v>じ/じ　耳痛（につう）　みみいたみ　耳神経痛　1887（明治20）　鍼灸備要　青山道醇.jpg</v>
      </c>
    </row>
    <row r="2829" spans="1:2" x14ac:dyDescent="0.15">
      <c r="A2829" t="s">
        <v>2803</v>
      </c>
      <c r="B2829" t="str">
        <f>HYPERLINK("じ/じ　耳目部　1425　神応経　明・陳会撰・劉瑾重校_ページ_1.jpg")</f>
        <v>じ/じ　耳目部　1425　神応経　明・陳会撰・劉瑾重校_ページ_1.jpg</v>
      </c>
    </row>
    <row r="2830" spans="1:2" x14ac:dyDescent="0.15">
      <c r="A2830" t="s">
        <v>2804</v>
      </c>
      <c r="B2830" t="str">
        <f>HYPERLINK("じ/じ　耳目部　1425　神応経　明・陳会撰・劉瑾重校_ページ_2.jpg")</f>
        <v>じ/じ　耳目部　1425　神応経　明・陳会撰・劉瑾重校_ページ_2.jpg</v>
      </c>
    </row>
    <row r="2831" spans="1:2" x14ac:dyDescent="0.15">
      <c r="A2831" t="s">
        <v>2805</v>
      </c>
      <c r="B2831" t="str">
        <f>HYPERLINK("じ/じ　耳聾　1220　鍼灸資生経　王執中_ページ_1.jpg")</f>
        <v>じ/じ　耳聾　1220　鍼灸資生経　王執中_ページ_1.jpg</v>
      </c>
    </row>
    <row r="2832" spans="1:2" x14ac:dyDescent="0.15">
      <c r="A2832" t="s">
        <v>2806</v>
      </c>
      <c r="B2832" t="str">
        <f>HYPERLINK("じ/じ　耳聾　1220　鍼灸資生経　王執中_ページ_2.jpg")</f>
        <v>じ/じ　耳聾　1220　鍼灸資生経　王執中_ページ_2.jpg</v>
      </c>
    </row>
    <row r="2833" spans="1:2" x14ac:dyDescent="0.15">
      <c r="A2833" t="s">
        <v>2807</v>
      </c>
      <c r="B2833" t="str">
        <f>HYPERLINK("じ/じ　耳聾　1694　選鍼三要集　杉山和一.jpg")</f>
        <v>じ/じ　耳聾　1694　選鍼三要集　杉山和一.jpg</v>
      </c>
    </row>
    <row r="2834" spans="1:2" x14ac:dyDescent="0.15">
      <c r="A2834" t="s">
        <v>2808</v>
      </c>
      <c r="B2834" t="str">
        <f>HYPERLINK("じ/じ　耳聾　耳漏　1912年（大正01）　鍼灸手引草　久木田七郎.jpg")</f>
        <v>じ/じ　耳聾　耳漏　1912年（大正01）　鍼灸手引草　久木田七郎.jpg</v>
      </c>
    </row>
    <row r="2835" spans="1:2" x14ac:dyDescent="0.15">
      <c r="A2835" t="s">
        <v>2809</v>
      </c>
      <c r="B2835" t="str">
        <f>HYPERLINK("じ/じ　耳聾　附紅腫生瘡　1329　扁鵲神応鍼灸玉龍経　元・王国瑞_ページ_1.jpg")</f>
        <v>じ/じ　耳聾　附紅腫生瘡　1329　扁鵲神応鍼灸玉龍経　元・王国瑞_ページ_1.jpg</v>
      </c>
    </row>
    <row r="2836" spans="1:2" x14ac:dyDescent="0.15">
      <c r="A2836" t="s">
        <v>2810</v>
      </c>
      <c r="B2836" t="str">
        <f>HYPERLINK("じ/じ　耳聾　附紅腫生瘡　1329　扁鵲神応鍼灸玉龍経　元・王国瑞_ページ_2.jpg")</f>
        <v>じ/じ　耳聾　附紅腫生瘡　1329　扁鵲神応鍼灸玉龍経　元・王国瑞_ページ_2.jpg</v>
      </c>
    </row>
    <row r="2837" spans="1:2" x14ac:dyDescent="0.15">
      <c r="A2837" t="s">
        <v>2811</v>
      </c>
      <c r="B2837" t="str">
        <f>HYPERLINK("じ/じ　耳聾之針穴　1613　古今集鍼法　長生庵了味か.jpg")</f>
        <v>じ/じ　耳聾之針穴　1613　古今集鍼法　長生庵了味か.jpg</v>
      </c>
    </row>
    <row r="2838" spans="1:2" x14ac:dyDescent="0.15">
      <c r="A2838" t="s">
        <v>2812</v>
      </c>
      <c r="B2838" t="str">
        <f>HYPERLINK("じ/じ　耳聾耳鳴　1315　鍼経摘英集　元・杜思敬「済生抜粋方」.jpg")</f>
        <v>じ/じ　耳聾耳鳴　1315　鍼経摘英集　元・杜思敬「済生抜粋方」.jpg</v>
      </c>
    </row>
    <row r="2839" spans="1:2" x14ac:dyDescent="0.15">
      <c r="A2839" t="s">
        <v>2813</v>
      </c>
      <c r="B2839" t="str">
        <f>HYPERLINK("じ/じ　耳聾（にろう）　みみしひ　聴覚完失　1887（明治20）　鍼灸備要　青山道醇.jpg")</f>
        <v>じ/じ　耳聾（にろう）　みみしひ　聴覚完失　1887（明治20）　鍼灸備要　青山道醇.jpg</v>
      </c>
    </row>
    <row r="2840" spans="1:2" x14ac:dyDescent="0.15">
      <c r="A2840" t="s">
        <v>2814</v>
      </c>
      <c r="B2840" t="str">
        <f>HYPERLINK("じ/じ　耳門　耳の病の事　1694　療治之大概集　杉山和一.jpg")</f>
        <v>じ/じ　耳門　耳の病の事　1694　療治之大概集　杉山和一.jpg</v>
      </c>
    </row>
    <row r="2841" spans="1:2" x14ac:dyDescent="0.15">
      <c r="A2841" t="s">
        <v>2815</v>
      </c>
      <c r="B2841" t="str">
        <f>HYPERLINK("じ/じ　耳鳴　1220　鍼灸資生経　王執中_ページ_1.jpg")</f>
        <v>じ/じ　耳鳴　1220　鍼灸資生経　王執中_ページ_1.jpg</v>
      </c>
    </row>
    <row r="2842" spans="1:2" x14ac:dyDescent="0.15">
      <c r="A2842" t="s">
        <v>2816</v>
      </c>
      <c r="B2842" t="str">
        <f>HYPERLINK("じ/じ　耳鳴　1220　鍼灸資生経　王執中_ページ_2.jpg")</f>
        <v>じ/じ　耳鳴　1220　鍼灸資生経　王執中_ページ_2.jpg</v>
      </c>
    </row>
    <row r="2843" spans="1:2" x14ac:dyDescent="0.15">
      <c r="A2843" t="s">
        <v>2817</v>
      </c>
      <c r="B2843" t="str">
        <f>HYPERLINK("じ/じ　耳鳴　耳痛　1912年（大正01）　鍼灸手引草　久木田七郎.jpg")</f>
        <v>じ/じ　耳鳴　耳痛　1912年（大正01）　鍼灸手引草　久木田七郎.jpg</v>
      </c>
    </row>
    <row r="2844" spans="1:2" x14ac:dyDescent="0.15">
      <c r="A2844" t="s">
        <v>2818</v>
      </c>
      <c r="B2844" t="str">
        <f>HYPERLINK("じ/じ　耳鳴（にめい）　みみなり　耳神経痛　1887（明治20）　鍼灸備要　青山道醇.jpg")</f>
        <v>じ/じ　耳鳴（にめい）　みみなり　耳神経痛　1887（明治20）　鍼灸備要　青山道醇.jpg</v>
      </c>
    </row>
    <row r="2845" spans="1:2" x14ac:dyDescent="0.15">
      <c r="A2845" t="s">
        <v>2819</v>
      </c>
      <c r="B2845" t="str">
        <f>HYPERLINK("じ/じ　自利　1537　鍼灸聚英　明・高武.jpg")</f>
        <v>じ/じ　自利　1537　鍼灸聚英　明・高武.jpg</v>
      </c>
    </row>
    <row r="2846" spans="1:2" x14ac:dyDescent="0.15">
      <c r="A2846" t="s">
        <v>2820</v>
      </c>
      <c r="B2846" t="str">
        <f>HYPERLINK("じ/じ　自汗　1220　鍼灸資生経　王執中_ページ_1.jpg")</f>
        <v>じ/じ　自汗　1220　鍼灸資生経　王執中_ページ_1.jpg</v>
      </c>
    </row>
    <row r="2847" spans="1:2" x14ac:dyDescent="0.15">
      <c r="A2847" t="s">
        <v>2821</v>
      </c>
      <c r="B2847" t="str">
        <f>HYPERLINK("じ/じ　自汗　1220　鍼灸資生経　王執中_ページ_2.jpg")</f>
        <v>じ/じ　自汗　1220　鍼灸資生経　王執中_ページ_2.jpg</v>
      </c>
    </row>
    <row r="2848" spans="1:2" x14ac:dyDescent="0.15">
      <c r="A2848" t="s">
        <v>2822</v>
      </c>
      <c r="B2848" t="str">
        <f>HYPERLINK("じ/じ　自汗　1767　鍼灸則　菅沼周桂.jpg")</f>
        <v>じ/じ　自汗　1767　鍼灸則　菅沼周桂.jpg</v>
      </c>
    </row>
    <row r="2849" spans="1:2" x14ac:dyDescent="0.15">
      <c r="A2849" t="s">
        <v>2823</v>
      </c>
      <c r="B2849" t="str">
        <f>HYPERLINK("じ/じ　自汗　1773　鍼灸手引草　大簡室主人_ページ_1.jpg")</f>
        <v>じ/じ　自汗　1773　鍼灸手引草　大簡室主人_ページ_1.jpg</v>
      </c>
    </row>
    <row r="2850" spans="1:2" x14ac:dyDescent="0.15">
      <c r="A2850" t="s">
        <v>2824</v>
      </c>
      <c r="B2850" t="str">
        <f>HYPERLINK("じ/じ　自汗　1773　鍼灸手引草　大簡室主人_ページ_2.jpg")</f>
        <v>じ/じ　自汗　1773　鍼灸手引草　大簡室主人_ページ_2.jpg</v>
      </c>
    </row>
    <row r="2851" spans="1:2" x14ac:dyDescent="0.15">
      <c r="A2851" t="s">
        <v>2825</v>
      </c>
      <c r="B2851" t="str">
        <f>HYPERLINK("じ/じ　自汗　あせかく事附たり盗汗はねあせなり　1694　療治之大概集　杉山和一.jpg")</f>
        <v>じ/じ　自汗　あせかく事附たり盗汗はねあせなり　1694　療治之大概集　杉山和一.jpg</v>
      </c>
    </row>
    <row r="2852" spans="1:2" x14ac:dyDescent="0.15">
      <c r="A2852" t="s">
        <v>2826</v>
      </c>
      <c r="B2852" t="str">
        <f>HYPERLINK("じ/じ　自汗盗汗　1563　鍼灸集要　曲直瀬道三.jpg")</f>
        <v>じ/じ　自汗盗汗　1563　鍼灸集要　曲直瀬道三.jpg</v>
      </c>
    </row>
    <row r="2853" spans="1:2" x14ac:dyDescent="0.15">
      <c r="A2853" t="s">
        <v>2827</v>
      </c>
      <c r="B2853" t="str">
        <f>HYPERLINK("じ/じ　自汗盗汗　1574　兪穴参伍的法　秦宗巴.jpg")</f>
        <v>じ/じ　自汗盗汗　1574　兪穴参伍的法　秦宗巴.jpg</v>
      </c>
    </row>
    <row r="2854" spans="1:2" x14ac:dyDescent="0.15">
      <c r="A2854" t="s">
        <v>2828</v>
      </c>
      <c r="B2854" t="str">
        <f>HYPERLINK("じ/じ　自汗盗汗　成書年未詳　灸穴集　著者未詳.jpg")</f>
        <v>じ/じ　自汗盗汗　成書年未詳　灸穴集　著者未詳.jpg</v>
      </c>
    </row>
    <row r="2855" spans="1:2" x14ac:dyDescent="0.15">
      <c r="A2855" t="s">
        <v>2829</v>
      </c>
      <c r="B2855" t="str">
        <f>HYPERLINK("じ/じ　自汗盗汗（じかんとうかん）　ひあせ、又、ねあせ　多汗症　1887（明治20）　鍼灸備要　青山道醇.jpg")</f>
        <v>じ/じ　自汗盗汗（じかんとうかん）　ひあせ、又、ねあせ　多汗症　1887（明治20）　鍼灸備要　青山道醇.jpg</v>
      </c>
    </row>
    <row r="2856" spans="1:2" x14ac:dyDescent="0.15">
      <c r="A2856" t="s">
        <v>2830</v>
      </c>
      <c r="B2856" t="str">
        <f>HYPERLINK("じ/じ　諸痔　下血　脱肛　1813　名家灸選三編　平井庸信_ページ_1.jpg")</f>
        <v>じ/じ　諸痔　下血　脱肛　1813　名家灸選三編　平井庸信_ページ_1.jpg</v>
      </c>
    </row>
    <row r="2857" spans="1:2" x14ac:dyDescent="0.15">
      <c r="A2857" t="s">
        <v>2831</v>
      </c>
      <c r="B2857" t="str">
        <f>HYPERLINK("じ/じ　諸痔　下血　脱肛　1813　名家灸選三編　平井庸信_ページ_2.jpg")</f>
        <v>じ/じ　諸痔　下血　脱肛　1813　名家灸選三編　平井庸信_ページ_2.jpg</v>
      </c>
    </row>
    <row r="2858" spans="1:2" x14ac:dyDescent="0.15">
      <c r="A2858" t="s">
        <v>2832</v>
      </c>
      <c r="B2858" t="str">
        <f>HYPERLINK("じ/じ　諸痔　下血　脱肛　1813　名家灸選三編　平井庸信_ページ_3.jpg")</f>
        <v>じ/じ　諸痔　下血　脱肛　1813　名家灸選三編　平井庸信_ページ_3.jpg</v>
      </c>
    </row>
    <row r="2859" spans="1:2" x14ac:dyDescent="0.15">
      <c r="A2859" t="s">
        <v>2833</v>
      </c>
      <c r="B2859" t="str">
        <f>HYPERLINK("じ/じく　衄　0300　●血溢発衄　第七　鍼灸甲乙経　皇甫謐_ページ_1.jpg")</f>
        <v>じ/じく　衄　0300　●血溢発衄　第七　鍼灸甲乙経　皇甫謐_ページ_1.jpg</v>
      </c>
    </row>
    <row r="2860" spans="1:2" x14ac:dyDescent="0.15">
      <c r="A2860" t="s">
        <v>2834</v>
      </c>
      <c r="B2860" t="str">
        <f>HYPERLINK("じ/じく　衄　0300　●血溢発衄　第七　鍼灸甲乙経　皇甫謐_ページ_2.jpg")</f>
        <v>じ/じく　衄　0300　●血溢発衄　第七　鍼灸甲乙経　皇甫謐_ページ_2.jpg</v>
      </c>
    </row>
    <row r="2861" spans="1:2" x14ac:dyDescent="0.15">
      <c r="A2861" t="s">
        <v>2835</v>
      </c>
      <c r="B2861" t="str">
        <f>HYPERLINK("じ/じく　衄血　1624　類経図翼　明・張介賓.jpg")</f>
        <v>じ/じく　衄血　1624　類経図翼　明・張介賓.jpg</v>
      </c>
    </row>
    <row r="2862" spans="1:2" x14ac:dyDescent="0.15">
      <c r="A2862" t="s">
        <v>2836</v>
      </c>
      <c r="B2862" t="str">
        <f>HYPERLINK("じ/じく　衄血　1694　選鍼三要集　杉山和一.jpg")</f>
        <v>じ/じく　衄血　1694　選鍼三要集　杉山和一.jpg</v>
      </c>
    </row>
    <row r="2863" spans="1:2" x14ac:dyDescent="0.15">
      <c r="A2863" t="s">
        <v>2837</v>
      </c>
      <c r="B2863" t="str">
        <f>HYPERLINK("じ/じく　衄血　1767　鍼灸則　菅沼周桂.jpg")</f>
        <v>じ/じく　衄血　1767　鍼灸則　菅沼周桂.jpg</v>
      </c>
    </row>
    <row r="2864" spans="1:2" x14ac:dyDescent="0.15">
      <c r="A2864" t="s">
        <v>2838</v>
      </c>
      <c r="B2864" t="str">
        <f>HYPERLINK("じ/じく　衄血　1773　鍼灸手引草　大簡室主人.jpg")</f>
        <v>じ/じく　衄血　1773　鍼灸手引草　大簡室主人.jpg</v>
      </c>
    </row>
    <row r="2865" spans="1:2" x14ac:dyDescent="0.15">
      <c r="A2865" t="s">
        <v>2839</v>
      </c>
      <c r="B2865" t="str">
        <f>HYPERLINK("じ/じく　衄血　1785　鍼書　本城義軒.jpg")</f>
        <v>じ/じく　衄血　1785　鍼書　本城義軒.jpg</v>
      </c>
    </row>
    <row r="2866" spans="1:2" x14ac:dyDescent="0.15">
      <c r="A2866" t="s">
        <v>2840</v>
      </c>
      <c r="B2866" t="str">
        <f>HYPERLINK("じ/じく　衄血　1912年（大正01）　鍼灸手引草　久木田七郎.jpg")</f>
        <v>じ/じく　衄血　1912年（大正01）　鍼灸手引草　久木田七郎.jpg</v>
      </c>
    </row>
    <row r="2867" spans="1:2" x14ac:dyDescent="0.15">
      <c r="A2867" t="s">
        <v>2841</v>
      </c>
      <c r="B2867" t="str">
        <f>HYPERLINK("じ/じく　衄血　はなじ　1686　鍼灸要法指南　岩田利斎_ページ_1.jpg")</f>
        <v>じ/じく　衄血　はなじ　1686　鍼灸要法指南　岩田利斎_ページ_1.jpg</v>
      </c>
    </row>
    <row r="2868" spans="1:2" x14ac:dyDescent="0.15">
      <c r="A2868" t="s">
        <v>2842</v>
      </c>
      <c r="B2868" t="str">
        <f>HYPERLINK("じ/じく　衄血　はなじ　1686　鍼灸要法指南　岩田利斎_ページ_2.jpg")</f>
        <v>じ/じく　衄血　はなじ　1686　鍼灸要法指南　岩田利斎_ページ_2.jpg</v>
      </c>
    </row>
    <row r="2869" spans="1:2" x14ac:dyDescent="0.15">
      <c r="A2869" t="s">
        <v>2843</v>
      </c>
      <c r="B2869" t="str">
        <f>HYPERLINK("じ/じく　衄血　はな血いづる人　1780　鍼灸極秘伝　木村太沖.jpg")</f>
        <v>じ/じく　衄血　はな血いづる人　1780　鍼灸極秘伝　木村太沖.jpg</v>
      </c>
    </row>
    <row r="2870" spans="1:2" x14ac:dyDescent="0.15">
      <c r="A2870" t="s">
        <v>2844</v>
      </c>
      <c r="B2870" t="str">
        <f>HYPERLINK("じ/じく　衄血之針穴　1613　古今集鍼法　長生庵了味か.jpg")</f>
        <v>じ/じく　衄血之針穴　1613　古今集鍼法　長生庵了味か.jpg</v>
      </c>
    </row>
    <row r="2871" spans="1:2" x14ac:dyDescent="0.15">
      <c r="A2871" t="s">
        <v>2845</v>
      </c>
      <c r="B2871" t="str">
        <f>HYPERLINK("じ/じく　衄血（じゆつけつ）　はなち　鼻孔出血　1887（明治20）　鍼灸備要　青山道醇.jpg")</f>
        <v>じ/じく　衄血（じゆつけつ）　はなち　鼻孔出血　1887（明治20）　鍼灸備要　青山道醇.jpg</v>
      </c>
    </row>
    <row r="2872" spans="1:2" x14ac:dyDescent="0.15">
      <c r="A2872" t="s">
        <v>2846</v>
      </c>
      <c r="B2872" t="str">
        <f>HYPERLINK("じ/じゃ　一切蛇傷　1226　備急灸法　宋・聞人耆年_ページ_1.jpg")</f>
        <v>じ/じゃ　一切蛇傷　1226　備急灸法　宋・聞人耆年_ページ_1.jpg</v>
      </c>
    </row>
    <row r="2873" spans="1:2" x14ac:dyDescent="0.15">
      <c r="A2873" t="s">
        <v>2847</v>
      </c>
      <c r="B2873" t="str">
        <f>HYPERLINK("じ/じゃ　一切蛇傷　1226　備急灸法　宋・聞人耆年_ページ_2.jpg")</f>
        <v>じ/じゃ　一切蛇傷　1226　備急灸法　宋・聞人耆年_ページ_2.jpg</v>
      </c>
    </row>
    <row r="2874" spans="1:2" x14ac:dyDescent="0.15">
      <c r="A2874" t="s">
        <v>2848</v>
      </c>
      <c r="B2874" t="str">
        <f>HYPERLINK("じ/じゃ　蛇毒　1224　医説　宋・張杲_ページ_1.jpg")</f>
        <v>じ/じゃ　蛇毒　1224　医説　宋・張杲_ページ_1.jpg</v>
      </c>
    </row>
    <row r="2875" spans="1:2" x14ac:dyDescent="0.15">
      <c r="A2875" t="s">
        <v>2849</v>
      </c>
      <c r="B2875" t="str">
        <f>HYPERLINK("じ/じゃ　蛇毒　1224　医説　宋・張杲_ページ_2.jpg")</f>
        <v>じ/じゃ　蛇毒　1224　医説　宋・張杲_ページ_2.jpg</v>
      </c>
    </row>
    <row r="2876" spans="1:2" x14ac:dyDescent="0.15">
      <c r="A2876" t="s">
        <v>2850</v>
      </c>
      <c r="B2876" t="str">
        <f>HYPERLINK("じ/じゃ　邪崇　1624　類経図翼　明・張介賓_ページ_1.jpg")</f>
        <v>じ/じゃ　邪崇　1624　類経図翼　明・張介賓_ページ_1.jpg</v>
      </c>
    </row>
    <row r="2877" spans="1:2" x14ac:dyDescent="0.15">
      <c r="A2877" t="s">
        <v>2851</v>
      </c>
      <c r="B2877" t="str">
        <f>HYPERLINK("じ/じゃ　邪崇　1624　類経図翼　明・張介賓_ページ_2.jpg")</f>
        <v>じ/じゃ　邪崇　1624　類経図翼　明・張介賓_ページ_2.jpg</v>
      </c>
    </row>
    <row r="2878" spans="1:2" x14ac:dyDescent="0.15">
      <c r="A2878" t="s">
        <v>2852</v>
      </c>
      <c r="B2878" t="str">
        <f>HYPERLINK("じ/じゃ　邪崇　1624　類経図翼　明・張介賓_ページ_3.jpg")</f>
        <v>じ/じゃ　邪崇　1624　類経図翼　明・張介賓_ページ_3.jpg</v>
      </c>
    </row>
    <row r="2879" spans="1:2" x14ac:dyDescent="0.15">
      <c r="A2879" t="s">
        <v>2853</v>
      </c>
      <c r="B2879" t="str">
        <f>HYPERLINK("じ/じゃ　邪崇　1624　類経図翼　明・張介賓_ページ_4.jpg")</f>
        <v>じ/じゃ　邪崇　1624　類経図翼　明・張介賓_ページ_4.jpg</v>
      </c>
    </row>
    <row r="2880" spans="1:2" x14ac:dyDescent="0.15">
      <c r="A2880" t="s">
        <v>2854</v>
      </c>
      <c r="B2880" t="str">
        <f>HYPERLINK("じ/じゃ　邪崇　1624　類経図翼　明・張介賓_ページ_5.jpg")</f>
        <v>じ/じゃ　邪崇　1624　類経図翼　明・張介賓_ページ_5.jpg</v>
      </c>
    </row>
    <row r="2881" spans="1:2" x14ac:dyDescent="0.15">
      <c r="A2881" t="s">
        <v>2855</v>
      </c>
      <c r="B2881" t="str">
        <f>HYPERLINK("じ/じゃ　邪崇　1761　挨穴捷径　杉原敦.jpg")</f>
        <v>じ/じゃ　邪崇　1761　挨穴捷径　杉原敦.jpg</v>
      </c>
    </row>
    <row r="2882" spans="1:2" x14ac:dyDescent="0.15">
      <c r="A2882" t="s">
        <v>2856</v>
      </c>
      <c r="B2882" t="str">
        <f>HYPERLINK("じ/じゃ　邪崇　1767　鍼灸則　菅沼周桂_ページ_1.jpg")</f>
        <v>じ/じゃ　邪崇　1767　鍼灸則　菅沼周桂_ページ_1.jpg</v>
      </c>
    </row>
    <row r="2883" spans="1:2" x14ac:dyDescent="0.15">
      <c r="A2883" t="s">
        <v>2857</v>
      </c>
      <c r="B2883" t="str">
        <f>HYPERLINK("じ/じゃ　邪崇　1767　鍼灸則　菅沼周桂_ページ_2.jpg")</f>
        <v>じ/じゃ　邪崇　1767　鍼灸則　菅沼周桂_ページ_2.jpg</v>
      </c>
    </row>
    <row r="2884" spans="1:2" x14ac:dyDescent="0.15">
      <c r="A2884" t="s">
        <v>2858</v>
      </c>
      <c r="B2884" t="str">
        <f>HYPERLINK("じ/じゃ　邪崇（じゃすい）　中悪　1686　鍼灸要法指南　岩田利斎_ページ_1.jpg")</f>
        <v>じ/じゃ　邪崇（じゃすい）　中悪　1686　鍼灸要法指南　岩田利斎_ページ_1.jpg</v>
      </c>
    </row>
    <row r="2885" spans="1:2" x14ac:dyDescent="0.15">
      <c r="A2885" t="s">
        <v>2859</v>
      </c>
      <c r="B2885" t="str">
        <f>HYPERLINK("じ/じゃ　邪崇（じゃすい）　中悪　1686　鍼灸要法指南　岩田利斎_ページ_2.jpg")</f>
        <v>じ/じゃ　邪崇（じゃすい）　中悪　1686　鍼灸要法指南　岩田利斎_ページ_2.jpg</v>
      </c>
    </row>
    <row r="2886" spans="1:2" x14ac:dyDescent="0.15">
      <c r="A2886" t="s">
        <v>2860</v>
      </c>
      <c r="B2886" t="str">
        <f>HYPERLINK("じ/じゃ　邪気　1607　扁鵲新流鍼書　越齋寿閑.jpg")</f>
        <v>じ/じゃ　邪気　1607　扁鵲新流鍼書　越齋寿閑.jpg</v>
      </c>
    </row>
    <row r="2887" spans="1:2" x14ac:dyDescent="0.15">
      <c r="A2887" t="s">
        <v>2861</v>
      </c>
      <c r="B2887" t="str">
        <f>HYPERLINK("じ/じゃ　邪病　1792　鍼法要集　源長起_ページ_1.jpg")</f>
        <v>じ/じゃ　邪病　1792　鍼法要集　源長起_ページ_1.jpg</v>
      </c>
    </row>
    <row r="2888" spans="1:2" x14ac:dyDescent="0.15">
      <c r="A2888" t="s">
        <v>2862</v>
      </c>
      <c r="B2888" t="str">
        <f>HYPERLINK("じ/じゃ　邪病　1792　鍼法要集　源長起_ページ_2.jpg")</f>
        <v>じ/じゃ　邪病　1792　鍼法要集　源長起_ページ_2.jpg</v>
      </c>
    </row>
    <row r="2889" spans="1:2" x14ac:dyDescent="0.15">
      <c r="A2889" t="s">
        <v>2863</v>
      </c>
      <c r="B2889" t="str">
        <f>HYPERLINK("じ/じゃ　邪病　1792　鍼法要集　源長起_ページ_3.jpg")</f>
        <v>じ/じゃ　邪病　1792　鍼法要集　源長起_ページ_3.jpg</v>
      </c>
    </row>
    <row r="2890" spans="1:2" x14ac:dyDescent="0.15">
      <c r="A2890" t="s">
        <v>2864</v>
      </c>
      <c r="B2890" t="str">
        <f>HYPERLINK("じ/じゃく　雀目（じゃくもく）　とりめ　夜盲、又、晩盲　1887（明治20）　鍼灸備要　青山道醇.jpg")</f>
        <v>じ/じゃく　雀目（じゃくもく）　とりめ　夜盲、又、晩盲　1887（明治20）　鍼灸備要　青山道醇.jpg</v>
      </c>
    </row>
    <row r="2891" spans="1:2" x14ac:dyDescent="0.15">
      <c r="A2891" t="s">
        <v>2865</v>
      </c>
      <c r="B2891" t="str">
        <f>HYPERLINK("じ/じゅ　聚　1607　扁鵲新流鍼書　越齋寿閑.jpg")</f>
        <v>じ/じゅ　聚　1607　扁鵲新流鍼書　越齋寿閑.jpg</v>
      </c>
    </row>
    <row r="2892" spans="1:2" x14ac:dyDescent="0.15">
      <c r="A2892" t="s">
        <v>2866</v>
      </c>
      <c r="B2892" t="str">
        <f>HYPERLINK("じ/じゅう　諸獣諸虫咬蟄所傷　1765　鍼法弁惑　藤井秀孟_ページ_1.jpg")</f>
        <v>じ/じゅう　諸獣諸虫咬蟄所傷　1765　鍼法弁惑　藤井秀孟_ページ_1.jpg</v>
      </c>
    </row>
    <row r="2893" spans="1:2" x14ac:dyDescent="0.15">
      <c r="A2893" t="s">
        <v>2867</v>
      </c>
      <c r="B2893" t="str">
        <f>HYPERLINK("じ/じゅう　諸獣諸虫咬蟄所傷　1765　鍼法弁惑　藤井秀孟_ページ_2.jpg")</f>
        <v>じ/じゅう　諸獣諸虫咬蟄所傷　1765　鍼法弁惑　藤井秀孟_ページ_2.jpg</v>
      </c>
    </row>
    <row r="2894" spans="1:2" x14ac:dyDescent="0.15">
      <c r="A2894" t="s">
        <v>2868</v>
      </c>
      <c r="B2894" t="str">
        <f>HYPERLINK("じ/じゅう　諸獣諸虫咬蟄所傷　1765　鍼法弁惑　藤井秀孟_ページ_3.jpg")</f>
        <v>じ/じゅう　諸獣諸虫咬蟄所傷　1765　鍼法弁惑　藤井秀孟_ページ_3.jpg</v>
      </c>
    </row>
    <row r="2895" spans="1:2" x14ac:dyDescent="0.15">
      <c r="A2895" t="s">
        <v>2869</v>
      </c>
      <c r="B2895" t="str">
        <f>HYPERLINK("じ/じゅう　重舌　1686　鍼灸要法指南　岩田利斎.jpg")</f>
        <v>じ/じゅう　重舌　1686　鍼灸要法指南　岩田利斎.jpg</v>
      </c>
    </row>
    <row r="2896" spans="1:2" x14ac:dyDescent="0.15">
      <c r="A2896" t="s">
        <v>2870</v>
      </c>
      <c r="B2896" t="str">
        <f>HYPERLINK("じ/じゅう　重舌妙灸　1594　経脈方寸秘書　曲直瀬道三.jpg")</f>
        <v>じ/じゅう　重舌妙灸　1594　経脈方寸秘書　曲直瀬道三.jpg</v>
      </c>
    </row>
    <row r="2897" spans="1:2" x14ac:dyDescent="0.15">
      <c r="A2897" t="s">
        <v>2871</v>
      </c>
      <c r="B2897" t="str">
        <f>HYPERLINK("じ/じゅう　重舌木舌弄舌　1693　鍼灸要歌集　安井昌玄_ページ_1.jpg")</f>
        <v>じ/じゅう　重舌木舌弄舌　1693　鍼灸要歌集　安井昌玄_ページ_1.jpg</v>
      </c>
    </row>
    <row r="2898" spans="1:2" x14ac:dyDescent="0.15">
      <c r="A2898" t="s">
        <v>2872</v>
      </c>
      <c r="B2898" t="str">
        <f>HYPERLINK("じ/じゅう　重舌木舌弄舌　1693　鍼灸要歌集　安井昌玄_ページ_2.jpg")</f>
        <v>じ/じゅう　重舌木舌弄舌　1693　鍼灸要歌集　安井昌玄_ページ_2.jpg</v>
      </c>
    </row>
    <row r="2899" spans="1:2" x14ac:dyDescent="0.15">
      <c r="A2899" t="s">
        <v>2873</v>
      </c>
      <c r="B2899" t="str">
        <f>HYPERLINK("じ/じゅう　重舌（小児）　1767　鍼灸則　菅沼周桂.jpg")</f>
        <v>じ/じゅう　重舌（小児）　1767　鍼灸則　菅沼周桂.jpg</v>
      </c>
    </row>
    <row r="2900" spans="1:2" x14ac:dyDescent="0.15">
      <c r="A2900" t="s">
        <v>2874</v>
      </c>
      <c r="B2900" t="str">
        <f>HYPERLINK("じ/じゅう　重舌（舌下生小舌也）　こじた　舌下軟瘤（なんりう）　1887（明治20）　鍼灸備要　青山道醇.jpg")</f>
        <v>じ/じゅう　重舌（舌下生小舌也）　こじた　舌下軟瘤（なんりう）　1887（明治20）　鍼灸備要　青山道醇.jpg</v>
      </c>
    </row>
    <row r="2901" spans="1:2" x14ac:dyDescent="0.15">
      <c r="A2901" t="s">
        <v>2875</v>
      </c>
      <c r="B2901" t="str">
        <f>HYPERLINK("じ/じょう　上気　1686　鍼灸要法指南　岩田利斎.jpg")</f>
        <v>じ/じょう　上気　1686　鍼灸要法指南　岩田利斎.jpg</v>
      </c>
    </row>
    <row r="2902" spans="1:2" x14ac:dyDescent="0.15">
      <c r="A2902" t="s">
        <v>2876</v>
      </c>
      <c r="B2902" t="str">
        <f>HYPERLINK("じ/じょう　上気　気の上る事　1694　療治之大概集　杉山和一.jpg")</f>
        <v>じ/じょう　上気　気の上る事　1694　療治之大概集　杉山和一.jpg</v>
      </c>
    </row>
    <row r="2903" spans="1:2" x14ac:dyDescent="0.15">
      <c r="A2903" t="s">
        <v>2877</v>
      </c>
      <c r="B2903" t="str">
        <f>HYPERLINK("じ/じょう　上焦熱　附心虚胆寒　1329　扁鵲神応鍼灸玉龍経　元・王国瑞_ページ_1.jpg")</f>
        <v>じ/じょう　上焦熱　附心虚胆寒　1329　扁鵲神応鍼灸玉龍経　元・王国瑞_ページ_1.jpg</v>
      </c>
    </row>
    <row r="2904" spans="1:2" x14ac:dyDescent="0.15">
      <c r="A2904" t="s">
        <v>2878</v>
      </c>
      <c r="B2904" t="str">
        <f>HYPERLINK("じ/じょう　上焦熱　附心虚胆寒　1329　扁鵲神応鍼灸玉龍経　元・王国瑞_ページ_2.jpg")</f>
        <v>じ/じょう　上焦熱　附心虚胆寒　1329　扁鵲神応鍼灸玉龍経　元・王国瑞_ページ_2.jpg</v>
      </c>
    </row>
    <row r="2905" spans="1:2" x14ac:dyDescent="0.15">
      <c r="A2905" t="s">
        <v>2879</v>
      </c>
      <c r="B2905" t="str">
        <f>HYPERLINK("じ/じょう　上衝生瘡　成書年未詳　灸穴集　著者未詳.jpg")</f>
        <v>じ/じょう　上衝生瘡　成書年未詳　灸穴集　著者未詳.jpg</v>
      </c>
    </row>
    <row r="2906" spans="1:2" x14ac:dyDescent="0.15">
      <c r="A2906" t="s">
        <v>2880</v>
      </c>
      <c r="B2906" t="str">
        <f>HYPERLINK("じ/じょし　女子漏下不止　1315　鍼経摘英集　元・杜思敬「済生抜粋方」.jpg")</f>
        <v>じ/じょし　女子漏下不止　1315　鍼経摘英集　元・杜思敬「済生抜粋方」.jpg</v>
      </c>
    </row>
    <row r="2907" spans="1:2" x14ac:dyDescent="0.15">
      <c r="A2907" t="s">
        <v>2881</v>
      </c>
      <c r="B2907" t="str">
        <f>HYPERLINK("じ/じん　腎の積　1607　扁鵲新流鍼書　越齋寿閑_ページ_1.jpg")</f>
        <v>じ/じん　腎の積　1607　扁鵲新流鍼書　越齋寿閑_ページ_1.jpg</v>
      </c>
    </row>
    <row r="2908" spans="1:2" x14ac:dyDescent="0.15">
      <c r="A2908" t="s">
        <v>2882</v>
      </c>
      <c r="B2908" t="str">
        <f>HYPERLINK("じ/じん　腎の積　1607　扁鵲新流鍼書　越齋寿閑_ページ_2.jpg")</f>
        <v>じ/じん　腎の積　1607　扁鵲新流鍼書　越齋寿閑_ページ_2.jpg</v>
      </c>
    </row>
    <row r="2909" spans="1:2" x14ac:dyDescent="0.15">
      <c r="A2909" t="s">
        <v>2883</v>
      </c>
      <c r="B2909" t="str">
        <f>HYPERLINK("じ/じん　腎積名奔豚、生臍下、或上下無時　1694　選鍼三要集　杉山和一.jpg")</f>
        <v>じ/じん　腎積名奔豚、生臍下、或上下無時　1694　選鍼三要集　杉山和一.jpg</v>
      </c>
    </row>
    <row r="2910" spans="1:2" x14ac:dyDescent="0.15">
      <c r="A2910" t="s">
        <v>2884</v>
      </c>
      <c r="B2910" t="str">
        <f>HYPERLINK("じ/じん　腎虚　1220　鍼灸資生経　王執中_ページ_1.jpg")</f>
        <v>じ/じん　腎虚　1220　鍼灸資生経　王執中_ページ_1.jpg</v>
      </c>
    </row>
    <row r="2911" spans="1:2" x14ac:dyDescent="0.15">
      <c r="A2911" t="s">
        <v>2885</v>
      </c>
      <c r="B2911" t="str">
        <f>HYPERLINK("じ/じん　腎虚　1220　鍼灸資生経　王執中_ページ_2.jpg")</f>
        <v>じ/じん　腎虚　1220　鍼灸資生経　王執中_ページ_2.jpg</v>
      </c>
    </row>
    <row r="2912" spans="1:2" x14ac:dyDescent="0.15">
      <c r="A2912" t="s">
        <v>2886</v>
      </c>
      <c r="B2912" t="str">
        <f>HYPERLINK("じ/じん　腎虚腰痛　1329　扁鵲神応鍼灸玉龍経　元・王国瑞_ページ_1.jpg")</f>
        <v>じ/じん　腎虚腰痛　1329　扁鵲神応鍼灸玉龍経　元・王国瑞_ページ_1.jpg</v>
      </c>
    </row>
    <row r="2913" spans="1:2" x14ac:dyDescent="0.15">
      <c r="A2913" t="s">
        <v>2887</v>
      </c>
      <c r="B2913" t="str">
        <f>HYPERLINK("じ/じん　腎虚腰痛　1329　扁鵲神応鍼灸玉龍経　元・王国瑞_ページ_2.jpg")</f>
        <v>じ/じん　腎虚腰痛　1329　扁鵲神応鍼灸玉龍経　元・王国瑞_ページ_2.jpg</v>
      </c>
    </row>
    <row r="2914" spans="1:2" x14ac:dyDescent="0.15">
      <c r="A2914" t="s">
        <v>2888</v>
      </c>
      <c r="B2914" t="str">
        <f>HYPERLINK("じ/じん　腎虚腰痛久不已　1315　鍼経摘英集　元・杜思敬「済生抜粋方」_ページ_1.jpg")</f>
        <v>じ/じん　腎虚腰痛久不已　1315　鍼経摘英集　元・杜思敬「済生抜粋方」_ページ_1.jpg</v>
      </c>
    </row>
    <row r="2915" spans="1:2" x14ac:dyDescent="0.15">
      <c r="A2915" t="s">
        <v>2889</v>
      </c>
      <c r="B2915" t="str">
        <f>HYPERLINK("じ/じん　腎虚腰痛久不已　1315　鍼経摘英集　元・杜思敬「済生抜粋方」_ページ_2.jpg")</f>
        <v>じ/じん　腎虚腰痛久不已　1315　鍼経摘英集　元・杜思敬「済生抜粋方」_ページ_2.jpg</v>
      </c>
    </row>
    <row r="2916" spans="1:2" x14ac:dyDescent="0.15">
      <c r="A2916" t="s">
        <v>2890</v>
      </c>
      <c r="B2916" t="str">
        <f>HYPERLINK("す/すい　●水膚脹鼓脹腸覃石か　第四　0300　鍼灸甲乙経　皇甫謐_ページ_1.jpg")</f>
        <v>す/すい　●水膚脹鼓脹腸覃石か　第四　0300　鍼灸甲乙経　皇甫謐_ページ_1.jpg</v>
      </c>
    </row>
    <row r="2917" spans="1:2" x14ac:dyDescent="0.15">
      <c r="A2917" t="s">
        <v>2891</v>
      </c>
      <c r="B2917" t="str">
        <f>HYPERLINK("す/すい　●水膚脹鼓脹腸覃石か　第四　0300　鍼灸甲乙経　皇甫謐_ページ_2.jpg")</f>
        <v>す/すい　●水膚脹鼓脹腸覃石か　第四　0300　鍼灸甲乙経　皇甫謐_ページ_2.jpg</v>
      </c>
    </row>
    <row r="2918" spans="1:2" x14ac:dyDescent="0.15">
      <c r="A2918" t="s">
        <v>2892</v>
      </c>
      <c r="B2918" t="str">
        <f>HYPERLINK("す/すい　吹よう　1686　鍼灸要法指南　岩田利斎.jpg")</f>
        <v>す/すい　吹よう　1686　鍼灸要法指南　岩田利斎.jpg</v>
      </c>
    </row>
    <row r="2919" spans="1:2" x14ac:dyDescent="0.15">
      <c r="A2919" t="s">
        <v>2893</v>
      </c>
      <c r="B2919" t="str">
        <f>HYPERLINK("す/すい　吹よう之治法　1693　鍼灸要歌集　安井昌玄.jpg")</f>
        <v>す/すい　吹よう之治法　1693　鍼灸要歌集　安井昌玄.jpg</v>
      </c>
    </row>
    <row r="2920" spans="1:2" x14ac:dyDescent="0.15">
      <c r="A2920" t="s">
        <v>2894</v>
      </c>
      <c r="B2920" t="str">
        <f>HYPERLINK("す/すい　吹乳　1329　扁鵲神応鍼灸玉龍経　元・王国瑞.jpg")</f>
        <v>す/すい　吹乳　1329　扁鵲神応鍼灸玉龍経　元・王国瑞.jpg</v>
      </c>
    </row>
    <row r="2921" spans="1:2" x14ac:dyDescent="0.15">
      <c r="A2921" t="s">
        <v>2895</v>
      </c>
      <c r="B2921" t="str">
        <f>HYPERLINK("す/すい　水気　玉機微義針灸証治　1537　鍼灸聚英　明・高武_ページ_1.jpg")</f>
        <v>す/すい　水気　玉機微義針灸証治　1537　鍼灸聚英　明・高武_ページ_1.jpg</v>
      </c>
    </row>
    <row r="2922" spans="1:2" x14ac:dyDescent="0.15">
      <c r="A2922" t="s">
        <v>2896</v>
      </c>
      <c r="B2922" t="str">
        <f>HYPERLINK("す/すい　水気　玉機微義針灸証治　1537　鍼灸聚英　明・高武_ページ_2.jpg")</f>
        <v>す/すい　水気　玉機微義針灸証治　1537　鍼灸聚英　明・高武_ページ_2.jpg</v>
      </c>
    </row>
    <row r="2923" spans="1:2" x14ac:dyDescent="0.15">
      <c r="A2923" t="s">
        <v>2897</v>
      </c>
      <c r="B2923" t="str">
        <f>HYPERLINK("す/すい　水気（すいき）　はれやみ　水腫（すいしゅ）病　1887（明治20）　鍼灸備要　青山道醇_ページ_1.jpg")</f>
        <v>す/すい　水気（すいき）　はれやみ　水腫（すいしゅ）病　1887（明治20）　鍼灸備要　青山道醇_ページ_1.jpg</v>
      </c>
    </row>
    <row r="2924" spans="1:2" x14ac:dyDescent="0.15">
      <c r="A2924" t="s">
        <v>2898</v>
      </c>
      <c r="B2924" t="str">
        <f>HYPERLINK("す/すい　水気（すいき）　はれやみ　水腫（すいしゅ）病　1887（明治20）　鍼灸備要　青山道醇_ページ_2.jpg")</f>
        <v>す/すい　水気（すいき）　はれやみ　水腫（すいしゅ）病　1887（明治20）　鍼灸備要　青山道醇_ページ_2.jpg</v>
      </c>
    </row>
    <row r="2925" spans="1:2" x14ac:dyDescent="0.15">
      <c r="A2925" t="s">
        <v>2899</v>
      </c>
      <c r="B2925" t="str">
        <f>HYPERLINK("す/すい　水病　1765　鍼法弁惑　藤井秀孟_ページ_1.jpg")</f>
        <v>す/すい　水病　1765　鍼法弁惑　藤井秀孟_ページ_1.jpg</v>
      </c>
    </row>
    <row r="2926" spans="1:2" x14ac:dyDescent="0.15">
      <c r="A2926" t="s">
        <v>2900</v>
      </c>
      <c r="B2926" t="str">
        <f>HYPERLINK("す/すい　水病　1765　鍼法弁惑　藤井秀孟_ページ_2.jpg")</f>
        <v>す/すい　水病　1765　鍼法弁惑　藤井秀孟_ページ_2.jpg</v>
      </c>
    </row>
    <row r="2927" spans="1:2" x14ac:dyDescent="0.15">
      <c r="A2927" t="s">
        <v>2901</v>
      </c>
      <c r="B2927" t="str">
        <f>HYPERLINK("す/すい　水病　1765　鍼法弁惑　藤井秀孟_ページ_3.jpg")</f>
        <v>す/すい　水病　1765　鍼法弁惑　藤井秀孟_ページ_3.jpg</v>
      </c>
    </row>
    <row r="2928" spans="1:2" x14ac:dyDescent="0.15">
      <c r="A2928" t="s">
        <v>2902</v>
      </c>
      <c r="B2928" t="str">
        <f>HYPERLINK("す/すい　水病　1765　鍼法弁惑　藤井秀孟_ページ_4.jpg")</f>
        <v>す/すい　水病　1765　鍼法弁惑　藤井秀孟_ページ_4.jpg</v>
      </c>
    </row>
    <row r="2929" spans="1:2" x14ac:dyDescent="0.15">
      <c r="A2929" t="s">
        <v>2903</v>
      </c>
      <c r="B2929" t="str">
        <f>HYPERLINK("す/すい　水病　1792　鍼法要集　源長起_ページ_1.jpg")</f>
        <v>す/すい　水病　1792　鍼法要集　源長起_ページ_1.jpg</v>
      </c>
    </row>
    <row r="2930" spans="1:2" x14ac:dyDescent="0.15">
      <c r="A2930" t="s">
        <v>2904</v>
      </c>
      <c r="B2930" t="str">
        <f>HYPERLINK("す/すい　水病　1792　鍼法要集　源長起_ページ_2.jpg")</f>
        <v>す/すい　水病　1792　鍼法要集　源長起_ページ_2.jpg</v>
      </c>
    </row>
    <row r="2931" spans="1:2" x14ac:dyDescent="0.15">
      <c r="A2931" t="s">
        <v>2905</v>
      </c>
      <c r="B2931" t="str">
        <f>HYPERLINK("す/すい　水病　1792　鍼法要集　源長起_ページ_3.jpg")</f>
        <v>す/すい　水病　1792　鍼法要集　源長起_ページ_3.jpg</v>
      </c>
    </row>
    <row r="2932" spans="1:2" x14ac:dyDescent="0.15">
      <c r="A2932" t="s">
        <v>2906</v>
      </c>
      <c r="B2932" t="str">
        <f>HYPERLINK("す/すい　水痢不止，食不化　1315　鍼経摘英集　元・杜思敬「済生抜粋方」.jpg")</f>
        <v>す/すい　水痢不止，食不化　1315　鍼経摘英集　元・杜思敬「済生抜粋方」.jpg</v>
      </c>
    </row>
    <row r="2933" spans="1:2" x14ac:dyDescent="0.15">
      <c r="A2933" t="s">
        <v>2907</v>
      </c>
      <c r="B2933" t="str">
        <f>HYPERLINK("す/すい　水脹　1669　鍼灸枢要　山本玄通_ページ_01.jpg")</f>
        <v>す/すい　水脹　1669　鍼灸枢要　山本玄通_ページ_01.jpg</v>
      </c>
    </row>
    <row r="2934" spans="1:2" x14ac:dyDescent="0.15">
      <c r="A2934" t="s">
        <v>2908</v>
      </c>
      <c r="B2934" t="str">
        <f>HYPERLINK("す/すい　水脹　1669　鍼灸枢要　山本玄通_ページ_02.jpg")</f>
        <v>す/すい　水脹　1669　鍼灸枢要　山本玄通_ページ_02.jpg</v>
      </c>
    </row>
    <row r="2935" spans="1:2" x14ac:dyDescent="0.15">
      <c r="A2935" t="s">
        <v>2909</v>
      </c>
      <c r="B2935" t="str">
        <f>HYPERLINK("す/すい　水脹　1669　鍼灸枢要　山本玄通_ページ_03.jpg")</f>
        <v>す/すい　水脹　1669　鍼灸枢要　山本玄通_ページ_03.jpg</v>
      </c>
    </row>
    <row r="2936" spans="1:2" x14ac:dyDescent="0.15">
      <c r="A2936" t="s">
        <v>2910</v>
      </c>
      <c r="B2936" t="str">
        <f>HYPERLINK("す/すい　水脹　1669　鍼灸枢要　山本玄通_ページ_04.jpg")</f>
        <v>す/すい　水脹　1669　鍼灸枢要　山本玄通_ページ_04.jpg</v>
      </c>
    </row>
    <row r="2937" spans="1:2" x14ac:dyDescent="0.15">
      <c r="A2937" t="s">
        <v>2911</v>
      </c>
      <c r="B2937" t="str">
        <f>HYPERLINK("す/すい　水脹　1669　鍼灸枢要　山本玄通_ページ_05.jpg")</f>
        <v>す/すい　水脹　1669　鍼灸枢要　山本玄通_ページ_05.jpg</v>
      </c>
    </row>
    <row r="2938" spans="1:2" x14ac:dyDescent="0.15">
      <c r="A2938" t="s">
        <v>2912</v>
      </c>
      <c r="B2938" t="str">
        <f>HYPERLINK("す/すい　水脹　1669　鍼灸枢要　山本玄通_ページ_06.jpg")</f>
        <v>す/すい　水脹　1669　鍼灸枢要　山本玄通_ページ_06.jpg</v>
      </c>
    </row>
    <row r="2939" spans="1:2" x14ac:dyDescent="0.15">
      <c r="A2939" t="s">
        <v>2913</v>
      </c>
      <c r="B2939" t="str">
        <f>HYPERLINK("す/すい　水脹　1669　鍼灸枢要　山本玄通_ページ_07.jpg")</f>
        <v>す/すい　水脹　1669　鍼灸枢要　山本玄通_ページ_07.jpg</v>
      </c>
    </row>
    <row r="2940" spans="1:2" x14ac:dyDescent="0.15">
      <c r="A2940" t="s">
        <v>2914</v>
      </c>
      <c r="B2940" t="str">
        <f>HYPERLINK("す/すい　水脹　1669　鍼灸枢要　山本玄通_ページ_08.jpg")</f>
        <v>す/すい　水脹　1669　鍼灸枢要　山本玄通_ページ_08.jpg</v>
      </c>
    </row>
    <row r="2941" spans="1:2" x14ac:dyDescent="0.15">
      <c r="A2941" t="s">
        <v>2915</v>
      </c>
      <c r="B2941" t="str">
        <f>HYPERLINK("す/すい　水脹　1669　鍼灸枢要　山本玄通_ページ_09.jpg")</f>
        <v>す/すい　水脹　1669　鍼灸枢要　山本玄通_ページ_09.jpg</v>
      </c>
    </row>
    <row r="2942" spans="1:2" x14ac:dyDescent="0.15">
      <c r="A2942" t="s">
        <v>2916</v>
      </c>
      <c r="B2942" t="str">
        <f>HYPERLINK("す/すい　水脹　1669　鍼灸枢要　山本玄通_ページ_10.jpg")</f>
        <v>す/すい　水脹　1669　鍼灸枢要　山本玄通_ページ_10.jpg</v>
      </c>
    </row>
    <row r="2943" spans="1:2" x14ac:dyDescent="0.15">
      <c r="A2943" t="s">
        <v>2917</v>
      </c>
      <c r="B2943" t="str">
        <f>HYPERLINK("す/すい　水脹　1669　鍼灸枢要　山本玄通_ページ_11.jpg")</f>
        <v>す/すい　水脹　1669　鍼灸枢要　山本玄通_ページ_11.jpg</v>
      </c>
    </row>
    <row r="2944" spans="1:2" x14ac:dyDescent="0.15">
      <c r="A2944" t="s">
        <v>2918</v>
      </c>
      <c r="B2944" t="str">
        <f>HYPERLINK("す/すい　水脹　1669　鍼灸枢要　山本玄通_ページ_12.jpg")</f>
        <v>す/すい　水脹　1669　鍼灸枢要　山本玄通_ページ_12.jpg</v>
      </c>
    </row>
    <row r="2945" spans="1:2" x14ac:dyDescent="0.15">
      <c r="A2945" t="s">
        <v>2919</v>
      </c>
      <c r="B2945" t="str">
        <f>HYPERLINK("す/すい　水脹　1800　鍼灸備要　小坂元祐_ページ_1.jpg")</f>
        <v>す/すい　水脹　1800　鍼灸備要　小坂元祐_ページ_1.jpg</v>
      </c>
    </row>
    <row r="2946" spans="1:2" x14ac:dyDescent="0.15">
      <c r="A2946" t="s">
        <v>2920</v>
      </c>
      <c r="B2946" t="str">
        <f>HYPERLINK("す/すい　水脹　1800　鍼灸備要　小坂元祐_ページ_2.jpg")</f>
        <v>す/すい　水脹　1800　鍼灸備要　小坂元祐_ページ_2.jpg</v>
      </c>
    </row>
    <row r="2947" spans="1:2" x14ac:dyDescent="0.15">
      <c r="A2947" t="s">
        <v>2921</v>
      </c>
      <c r="B2947" t="str">
        <f>HYPERLINK("す/すい　水脹　1800　鍼灸備要　小坂元祐_ページ_3.jpg")</f>
        <v>す/すい　水脹　1800　鍼灸備要　小坂元祐_ページ_3.jpg</v>
      </c>
    </row>
    <row r="2948" spans="1:2" x14ac:dyDescent="0.15">
      <c r="A2948" t="s">
        <v>2922</v>
      </c>
      <c r="B2948" t="str">
        <f>HYPERLINK("す/すい　水脹　1800　鍼灸備要　小坂元祐_ページ_4.jpg")</f>
        <v>す/すい　水脹　1800　鍼灸備要　小坂元祐_ページ_4.jpg</v>
      </c>
    </row>
    <row r="2949" spans="1:2" x14ac:dyDescent="0.15">
      <c r="A2949" t="s">
        <v>2923</v>
      </c>
      <c r="B2949" t="str">
        <f>HYPERLINK("す/すい　水腫　0650　千金方　孫思ばく_ページ_1.jpg")</f>
        <v>す/すい　水腫　0650　千金方　孫思ばく_ページ_1.jpg</v>
      </c>
    </row>
    <row r="2950" spans="1:2" x14ac:dyDescent="0.15">
      <c r="A2950" t="s">
        <v>2924</v>
      </c>
      <c r="B2950" t="str">
        <f>HYPERLINK("す/すい　水腫　0650　千金方　孫思ばく_ページ_2.jpg")</f>
        <v>す/すい　水腫　0650　千金方　孫思ばく_ページ_2.jpg</v>
      </c>
    </row>
    <row r="2951" spans="1:2" x14ac:dyDescent="0.15">
      <c r="A2951" t="s">
        <v>2925</v>
      </c>
      <c r="B2951" t="str">
        <f>HYPERLINK("す/すい　水腫　1220　鍼灸資生経　王執中_ページ_1.jpg")</f>
        <v>す/すい　水腫　1220　鍼灸資生経　王執中_ページ_1.jpg</v>
      </c>
    </row>
    <row r="2952" spans="1:2" x14ac:dyDescent="0.15">
      <c r="A2952" t="s">
        <v>2926</v>
      </c>
      <c r="B2952" t="str">
        <f>HYPERLINK("す/すい　水腫　1220　鍼灸資生経　王執中_ページ_2.jpg")</f>
        <v>す/すい　水腫　1220　鍼灸資生経　王執中_ページ_2.jpg</v>
      </c>
    </row>
    <row r="2953" spans="1:2" x14ac:dyDescent="0.15">
      <c r="A2953" t="s">
        <v>2927</v>
      </c>
      <c r="B2953" t="str">
        <f>HYPERLINK("す/すい　水腫　1220　鍼灸資生経　王執中_ページ_3.jpg")</f>
        <v>す/すい　水腫　1220　鍼灸資生経　王執中_ページ_3.jpg</v>
      </c>
    </row>
    <row r="2954" spans="1:2" x14ac:dyDescent="0.15">
      <c r="A2954" t="s">
        <v>2928</v>
      </c>
      <c r="B2954" t="str">
        <f>HYPERLINK("す/すい　水腫　1329　扁鵲神応鍼灸玉龍経　元・王国瑞_ページ_1.jpg")</f>
        <v>す/すい　水腫　1329　扁鵲神応鍼灸玉龍経　元・王国瑞_ページ_1.jpg</v>
      </c>
    </row>
    <row r="2955" spans="1:2" x14ac:dyDescent="0.15">
      <c r="A2955" t="s">
        <v>2929</v>
      </c>
      <c r="B2955" t="str">
        <f>HYPERLINK("す/すい　水腫　1329　扁鵲神応鍼灸玉龍経　元・王国瑞_ページ_2.jpg")</f>
        <v>す/すい　水腫　1329　扁鵲神応鍼灸玉龍経　元・王国瑞_ページ_2.jpg</v>
      </c>
    </row>
    <row r="2956" spans="1:2" x14ac:dyDescent="0.15">
      <c r="A2956" t="s">
        <v>2930</v>
      </c>
      <c r="B2956" t="str">
        <f>HYPERLINK("す/すい　水腫　1537　鍼灸聚英　明・高武_ページ_1.jpg")</f>
        <v>す/すい　水腫　1537　鍼灸聚英　明・高武_ページ_1.jpg</v>
      </c>
    </row>
    <row r="2957" spans="1:2" x14ac:dyDescent="0.15">
      <c r="A2957" t="s">
        <v>2931</v>
      </c>
      <c r="B2957" t="str">
        <f>HYPERLINK("す/すい　水腫　1537　鍼灸聚英　明・高武_ページ_2.jpg")</f>
        <v>す/すい　水腫　1537　鍼灸聚英　明・高武_ページ_2.jpg</v>
      </c>
    </row>
    <row r="2958" spans="1:2" x14ac:dyDescent="0.15">
      <c r="A2958" t="s">
        <v>2932</v>
      </c>
      <c r="B2958" t="str">
        <f>HYPERLINK("す/すい　水腫　1563　鍼灸集要　曲直瀬道三.jpg")</f>
        <v>す/すい　水腫　1563　鍼灸集要　曲直瀬道三.jpg</v>
      </c>
    </row>
    <row r="2959" spans="1:2" x14ac:dyDescent="0.15">
      <c r="A2959" t="s">
        <v>2933</v>
      </c>
      <c r="B2959" t="str">
        <f>HYPERLINK("す/すい　水腫　1574　兪穴参伍的法　秦宗巴.jpg")</f>
        <v>す/すい　水腫　1574　兪穴参伍的法　秦宗巴.jpg</v>
      </c>
    </row>
    <row r="2960" spans="1:2" x14ac:dyDescent="0.15">
      <c r="A2960" t="s">
        <v>2934</v>
      </c>
      <c r="B2960" t="str">
        <f>HYPERLINK("す/すい　水腫　1679　鍼法奇貨　渡辺東伯_ページ_1.jpg")</f>
        <v>す/すい　水腫　1679　鍼法奇貨　渡辺東伯_ページ_1.jpg</v>
      </c>
    </row>
    <row r="2961" spans="1:2" x14ac:dyDescent="0.15">
      <c r="A2961" t="s">
        <v>2935</v>
      </c>
      <c r="B2961" t="str">
        <f>HYPERLINK("す/すい　水腫　1679　鍼法奇貨　渡辺東伯_ページ_2.jpg")</f>
        <v>す/すい　水腫　1679　鍼法奇貨　渡辺東伯_ページ_2.jpg</v>
      </c>
    </row>
    <row r="2962" spans="1:2" x14ac:dyDescent="0.15">
      <c r="A2962" t="s">
        <v>2936</v>
      </c>
      <c r="B2962" t="str">
        <f>HYPERLINK("す/すい　水腫　1679　鍼法奇貨　渡辺東伯_ページ_3.jpg")</f>
        <v>す/すい　水腫　1679　鍼法奇貨　渡辺東伯_ページ_3.jpg</v>
      </c>
    </row>
    <row r="2963" spans="1:2" x14ac:dyDescent="0.15">
      <c r="A2963" t="s">
        <v>2937</v>
      </c>
      <c r="B2963" t="str">
        <f>HYPERLINK("す/すい　水腫　1679　鍼法奇貨　渡辺東伯_ページ_4.jpg")</f>
        <v>す/すい　水腫　1679　鍼法奇貨　渡辺東伯_ページ_4.jpg</v>
      </c>
    </row>
    <row r="2964" spans="1:2" x14ac:dyDescent="0.15">
      <c r="A2964" t="s">
        <v>2938</v>
      </c>
      <c r="B2964" t="str">
        <f>HYPERLINK("す/すい　水腫　1680　鍼灸抜萃　著者未詳.jpg")</f>
        <v>す/すい　水腫　1680　鍼灸抜萃　著者未詳.jpg</v>
      </c>
    </row>
    <row r="2965" spans="1:2" x14ac:dyDescent="0.15">
      <c r="A2965" t="s">
        <v>2939</v>
      </c>
      <c r="B2965" t="str">
        <f>HYPERLINK("す/すい　水腫　1693　鍼灸要歌集　安井昌玄_ページ_1.jpg")</f>
        <v>す/すい　水腫　1693　鍼灸要歌集　安井昌玄_ページ_1.jpg</v>
      </c>
    </row>
    <row r="2966" spans="1:2" x14ac:dyDescent="0.15">
      <c r="A2966" t="s">
        <v>2940</v>
      </c>
      <c r="B2966" t="str">
        <f>HYPERLINK("す/すい　水腫　1693　鍼灸要歌集　安井昌玄_ページ_2.jpg")</f>
        <v>す/すい　水腫　1693　鍼灸要歌集　安井昌玄_ページ_2.jpg</v>
      </c>
    </row>
    <row r="2967" spans="1:2" x14ac:dyDescent="0.15">
      <c r="A2967" t="s">
        <v>2941</v>
      </c>
      <c r="B2967" t="str">
        <f>HYPERLINK("す/すい　水腫　1694　選鍼三要集　杉山和一_ページ_1.jpg")</f>
        <v>す/すい　水腫　1694　選鍼三要集　杉山和一_ページ_1.jpg</v>
      </c>
    </row>
    <row r="2968" spans="1:2" x14ac:dyDescent="0.15">
      <c r="A2968" t="s">
        <v>2942</v>
      </c>
      <c r="B2968" t="str">
        <f>HYPERLINK("す/すい　水腫　1694　選鍼三要集　杉山和一_ページ_2.jpg")</f>
        <v>す/すい　水腫　1694　選鍼三要集　杉山和一_ページ_2.jpg</v>
      </c>
    </row>
    <row r="2969" spans="1:2" x14ac:dyDescent="0.15">
      <c r="A2969" t="s">
        <v>2943</v>
      </c>
      <c r="B2969" t="str">
        <f>HYPERLINK("す/すい　水腫　1694　鍼灸そかい集　高津敬節_ページ_1.jpg")</f>
        <v>す/すい　水腫　1694　鍼灸そかい集　高津敬節_ページ_1.jpg</v>
      </c>
    </row>
    <row r="2970" spans="1:2" x14ac:dyDescent="0.15">
      <c r="A2970" t="s">
        <v>2944</v>
      </c>
      <c r="B2970" t="str">
        <f>HYPERLINK("す/すい　水腫　1694　鍼灸そかい集　高津敬節_ページ_2.jpg")</f>
        <v>す/すい　水腫　1694　鍼灸そかい集　高津敬節_ページ_2.jpg</v>
      </c>
    </row>
    <row r="2971" spans="1:2" x14ac:dyDescent="0.15">
      <c r="A2971" t="s">
        <v>2945</v>
      </c>
      <c r="B2971" t="str">
        <f>HYPERLINK("す/すい　水腫　1696　広益鍼灸抜萃　著者未詳_ページ_1.jpg")</f>
        <v>す/すい　水腫　1696　広益鍼灸抜萃　著者未詳_ページ_1.jpg</v>
      </c>
    </row>
    <row r="2972" spans="1:2" x14ac:dyDescent="0.15">
      <c r="A2972" t="s">
        <v>2946</v>
      </c>
      <c r="B2972" t="str">
        <f>HYPERLINK("す/すい　水腫　1696　広益鍼灸抜萃　著者未詳_ページ_2.jpg")</f>
        <v>す/すい　水腫　1696　広益鍼灸抜萃　著者未詳_ページ_2.jpg</v>
      </c>
    </row>
    <row r="2973" spans="1:2" x14ac:dyDescent="0.15">
      <c r="A2973" t="s">
        <v>2947</v>
      </c>
      <c r="B2973" t="str">
        <f>HYPERLINK("す/すい　水腫　1698　鍼灸抜粋大成　岡本一抱.jpg")</f>
        <v>す/すい　水腫　1698　鍼灸抜粋大成　岡本一抱.jpg</v>
      </c>
    </row>
    <row r="2974" spans="1:2" x14ac:dyDescent="0.15">
      <c r="A2974" t="s">
        <v>2948</v>
      </c>
      <c r="B2974" t="str">
        <f>HYPERLINK("す/すい　水腫　1767　鍼灸則　菅沼周桂_ページ_1.jpg")</f>
        <v>す/すい　水腫　1767　鍼灸則　菅沼周桂_ページ_1.jpg</v>
      </c>
    </row>
    <row r="2975" spans="1:2" x14ac:dyDescent="0.15">
      <c r="A2975" t="s">
        <v>2949</v>
      </c>
      <c r="B2975" t="str">
        <f>HYPERLINK("す/すい　水腫　1767　鍼灸則　菅沼周桂_ページ_2.jpg")</f>
        <v>す/すい　水腫　1767　鍼灸則　菅沼周桂_ページ_2.jpg</v>
      </c>
    </row>
    <row r="2976" spans="1:2" x14ac:dyDescent="0.15">
      <c r="A2976" t="s">
        <v>2950</v>
      </c>
      <c r="B2976" t="str">
        <f>HYPERLINK("す/すい　水腫　1773　鍼灸手引草　大簡室主人_ページ_1.jpg")</f>
        <v>す/すい　水腫　1773　鍼灸手引草　大簡室主人_ページ_1.jpg</v>
      </c>
    </row>
    <row r="2977" spans="1:2" x14ac:dyDescent="0.15">
      <c r="A2977" t="s">
        <v>2951</v>
      </c>
      <c r="B2977" t="str">
        <f>HYPERLINK("す/すい　水腫　1773　鍼灸手引草　大簡室主人_ページ_2.jpg")</f>
        <v>す/すい　水腫　1773　鍼灸手引草　大簡室主人_ページ_2.jpg</v>
      </c>
    </row>
    <row r="2978" spans="1:2" x14ac:dyDescent="0.15">
      <c r="A2978" t="s">
        <v>2952</v>
      </c>
      <c r="B2978" t="str">
        <f>HYPERLINK("す/すい　水腫　1785　鍼書　本城義軒.jpg")</f>
        <v>す/すい　水腫　1785　鍼書　本城義軒.jpg</v>
      </c>
    </row>
    <row r="2979" spans="1:2" x14ac:dyDescent="0.15">
      <c r="A2979" t="s">
        <v>2953</v>
      </c>
      <c r="B2979" t="str">
        <f>HYPERLINK("す/すい　水腫　1794　杉山流鍼術　島浦和田一.jpg")</f>
        <v>す/すい　水腫　1794　杉山流鍼術　島浦和田一.jpg</v>
      </c>
    </row>
    <row r="2980" spans="1:2" x14ac:dyDescent="0.15">
      <c r="A2980" t="s">
        <v>2954</v>
      </c>
      <c r="B2980" t="str">
        <f>HYPERLINK("す/すい　水腫　1813　名家灸選　浅井惟亨.jpg")</f>
        <v>す/すい　水腫　1813　名家灸選　浅井惟亨.jpg</v>
      </c>
    </row>
    <row r="2981" spans="1:2" x14ac:dyDescent="0.15">
      <c r="A2981" t="s">
        <v>2955</v>
      </c>
      <c r="B2981" t="str">
        <f>HYPERLINK("す/すい　水腫　1912年（大正01）　鍼灸手引草　久木田七郎.jpg")</f>
        <v>す/すい　水腫　1912年（大正01）　鍼灸手引草　久木田七郎.jpg</v>
      </c>
    </row>
    <row r="2982" spans="1:2" x14ac:dyDescent="0.15">
      <c r="A2982" t="s">
        <v>2956</v>
      </c>
      <c r="B2982" t="str">
        <f>HYPERLINK("す/すい　水腫　しゅき（腫気）、はれやまい　1780　鍼灸極秘伝　木村太沖.jpg")</f>
        <v>す/すい　水腫　しゅき（腫気）、はれやまい　1780　鍼灸極秘伝　木村太沖.jpg</v>
      </c>
    </row>
    <row r="2983" spans="1:2" x14ac:dyDescent="0.15">
      <c r="A2983" t="s">
        <v>2957</v>
      </c>
      <c r="B2983" t="str">
        <f>HYPERLINK("す/すい　水腫　はれやまひ　1718　鍼灸重宝記　本郷正豊.jpg")</f>
        <v>す/すい　水腫　はれやまひ　1718　鍼灸重宝記　本郷正豊.jpg</v>
      </c>
    </row>
    <row r="2984" spans="1:2" x14ac:dyDescent="0.15">
      <c r="A2984" t="s">
        <v>2958</v>
      </c>
      <c r="B2984" t="str">
        <f>HYPERLINK("す/すい　水腫　みづばれの事　1694　療治之大概集　杉山和一.jpg")</f>
        <v>す/すい　水腫　みづばれの事　1694　療治之大概集　杉山和一.jpg</v>
      </c>
    </row>
    <row r="2985" spans="1:2" x14ac:dyDescent="0.15">
      <c r="A2985" t="s">
        <v>2959</v>
      </c>
      <c r="B2985" t="str">
        <f>HYPERLINK("す/すい　水腫　付脹満　1607　扁鵲新流鍼書　越齋寿閑.jpg")</f>
        <v>す/すい　水腫　付脹満　1607　扁鵲新流鍼書　越齋寿閑.jpg</v>
      </c>
    </row>
    <row r="2986" spans="1:2" x14ac:dyDescent="0.15">
      <c r="A2986" t="s">
        <v>2960</v>
      </c>
      <c r="B2986" t="str">
        <f>HYPERLINK("す/すい　水腫　成書年未詳　灸穴集　著者未詳_ページ_1.jpg")</f>
        <v>す/すい　水腫　成書年未詳　灸穴集　著者未詳_ページ_1.jpg</v>
      </c>
    </row>
    <row r="2987" spans="1:2" x14ac:dyDescent="0.15">
      <c r="A2987" t="s">
        <v>2961</v>
      </c>
      <c r="B2987" t="str">
        <f>HYPERLINK("す/すい　水腫　成書年未詳　灸穴集　著者未詳_ページ_2.jpg")</f>
        <v>す/すい　水腫　成書年未詳　灸穴集　著者未詳_ページ_2.jpg</v>
      </c>
    </row>
    <row r="2988" spans="1:2" x14ac:dyDescent="0.15">
      <c r="A2988" t="s">
        <v>2962</v>
      </c>
      <c r="B2988" t="str">
        <f>HYPERLINK("す/すい　水腫　成書年未詳　灸穴集　著者未詳_ページ_3.jpg")</f>
        <v>す/すい　水腫　成書年未詳　灸穴集　著者未詳_ページ_3.jpg</v>
      </c>
    </row>
    <row r="2989" spans="1:2" x14ac:dyDescent="0.15">
      <c r="A2989" t="s">
        <v>2963</v>
      </c>
      <c r="B2989" t="str">
        <f>HYPERLINK("す/すい　水腫　脹満　1686　鍼灸要法指南　岩田利斎.jpg")</f>
        <v>す/すい　水腫　脹満　1686　鍼灸要法指南　岩田利斎.jpg</v>
      </c>
    </row>
    <row r="2990" spans="1:2" x14ac:dyDescent="0.15">
      <c r="A2990" t="s">
        <v>2964</v>
      </c>
      <c r="B2990" t="str">
        <f>HYPERLINK("す/すい　水腫之針穴　1613　古今集鍼法　長生庵了味か.jpg")</f>
        <v>す/すい　水腫之針穴　1613　古今集鍼法　長生庵了味か.jpg</v>
      </c>
    </row>
    <row r="2991" spans="1:2" x14ac:dyDescent="0.15">
      <c r="A2991" t="s">
        <v>2965</v>
      </c>
      <c r="B2991" t="str">
        <f>HYPERLINK("す/すい　水腫遍身満つる者　すいしゅ総身はれたる人　1780　鍼灸極秘伝　木村太沖.jpg")</f>
        <v>す/すい　水腫遍身満つる者　すいしゅ総身はれたる人　1780　鍼灸極秘伝　木村太沖.jpg</v>
      </c>
    </row>
    <row r="2992" spans="1:2" x14ac:dyDescent="0.15">
      <c r="A2992" t="s">
        <v>5495</v>
      </c>
      <c r="B2992" t="str">
        <f>HYPERLINK("す/すん　寸白　1607　扁鵲新流鍼書　越齋寿閑.jpg")</f>
        <v>す/すん　寸白　1607　扁鵲新流鍼書　越齋寿閑.jpg</v>
      </c>
    </row>
    <row r="2993" spans="1:2" x14ac:dyDescent="0.15">
      <c r="A2993" t="s">
        <v>2966</v>
      </c>
      <c r="B2993" t="str">
        <f>HYPERLINK("す/すん　寸白　1800　岡田流鍼術書　岡田見龍_ページ_1.jpg")</f>
        <v>す/すん　寸白　1800　岡田流鍼術書　岡田見龍_ページ_1.jpg</v>
      </c>
    </row>
    <row r="2994" spans="1:2" x14ac:dyDescent="0.15">
      <c r="A2994" t="s">
        <v>2967</v>
      </c>
      <c r="B2994" t="str">
        <f>HYPERLINK("す/すん　寸白　1800　岡田流鍼術書　岡田見龍_ページ_2.jpg")</f>
        <v>す/すん　寸白　1800　岡田流鍼術書　岡田見龍_ページ_2.jpg</v>
      </c>
    </row>
    <row r="2995" spans="1:2" x14ac:dyDescent="0.15">
      <c r="A2995" t="s">
        <v>2968</v>
      </c>
      <c r="B2995" t="str">
        <f>HYPERLINK("す/すん　寸白虫　1813　名家灸選三編　平井庸信.jpg")</f>
        <v>す/すん　寸白虫　1813　名家灸選三編　平井庸信.jpg</v>
      </c>
    </row>
    <row r="2996" spans="1:2" x14ac:dyDescent="0.15">
      <c r="A2996" t="s">
        <v>2969</v>
      </c>
      <c r="B2996" t="str">
        <f>HYPERLINK("ず/ず　上気頭痛　風眩　1813　名家灸選三編　平井庸信_ページ_1.jpg")</f>
        <v>ず/ず　上気頭痛　風眩　1813　名家灸選三編　平井庸信_ページ_1.jpg</v>
      </c>
    </row>
    <row r="2997" spans="1:2" x14ac:dyDescent="0.15">
      <c r="A2997" t="s">
        <v>2970</v>
      </c>
      <c r="B2997" t="str">
        <f>HYPERLINK("ず/ず　上気頭痛　風眩　1813　名家灸選三編　平井庸信_ページ_2.jpg")</f>
        <v>ず/ず　上気頭痛　風眩　1813　名家灸選三編　平井庸信_ページ_2.jpg</v>
      </c>
    </row>
    <row r="2998" spans="1:2" x14ac:dyDescent="0.15">
      <c r="A2998" t="s">
        <v>2971</v>
      </c>
      <c r="B2998" t="str">
        <f>HYPERLINK("ず/ず　上気頭痛　風眩　1813　名家灸選三編　平井庸信_ページ_3.jpg")</f>
        <v>ず/ず　上気頭痛　風眩　1813　名家灸選三編　平井庸信_ページ_3.jpg</v>
      </c>
    </row>
    <row r="2999" spans="1:2" x14ac:dyDescent="0.15">
      <c r="A2999" t="s">
        <v>2972</v>
      </c>
      <c r="B2999" t="str">
        <f>HYPERLINK("ず/ず　正頭痛　1794　杉山流鍼術　島浦和田一.jpg")</f>
        <v>ず/ず　正頭痛　1794　杉山流鍼術　島浦和田一.jpg</v>
      </c>
    </row>
    <row r="3000" spans="1:2" x14ac:dyDescent="0.15">
      <c r="A3000" t="s">
        <v>2973</v>
      </c>
      <c r="B3000" t="str">
        <f>HYPERLINK("ず/ず　酔後頭痛　1794　杉山流鍼術　島浦和田一.jpg")</f>
        <v>ず/ず　酔後頭痛　1794　杉山流鍼術　島浦和田一.jpg</v>
      </c>
    </row>
    <row r="3001" spans="1:2" x14ac:dyDescent="0.15">
      <c r="A3001" t="s">
        <v>2974</v>
      </c>
      <c r="B3001" t="str">
        <f>HYPERLINK("ず/ず　酔頭痛嘔吐不止悪聞人言　1794　杉山流鍼術　島浦和田一.jpg")</f>
        <v>ず/ず　酔頭痛嘔吐不止悪聞人言　1794　杉山流鍼術　島浦和田一.jpg</v>
      </c>
    </row>
    <row r="3002" spans="1:2" x14ac:dyDescent="0.15">
      <c r="A3002" t="s">
        <v>2975</v>
      </c>
      <c r="B3002" t="str">
        <f>HYPERLINK("ず/ず　雷頭風　1794　杉山流鍼術　島浦和田一.jpg")</f>
        <v>ず/ず　雷頭風　1794　杉山流鍼術　島浦和田一.jpg</v>
      </c>
    </row>
    <row r="3003" spans="1:2" x14ac:dyDescent="0.15">
      <c r="A3003" t="s">
        <v>2976</v>
      </c>
      <c r="B3003" t="str">
        <f>HYPERLINK("ず/ず　頭　頭痛　1669　鍼灸枢要　山本玄通_ページ_01.jpg")</f>
        <v>ず/ず　頭　頭痛　1669　鍼灸枢要　山本玄通_ページ_01.jpg</v>
      </c>
    </row>
    <row r="3004" spans="1:2" x14ac:dyDescent="0.15">
      <c r="A3004" t="s">
        <v>2977</v>
      </c>
      <c r="B3004" t="str">
        <f>HYPERLINK("ず/ず　頭　頭痛　1669　鍼灸枢要　山本玄通_ページ_02.jpg")</f>
        <v>ず/ず　頭　頭痛　1669　鍼灸枢要　山本玄通_ページ_02.jpg</v>
      </c>
    </row>
    <row r="3005" spans="1:2" x14ac:dyDescent="0.15">
      <c r="A3005" t="s">
        <v>2978</v>
      </c>
      <c r="B3005" t="str">
        <f>HYPERLINK("ず/ず　頭　頭痛　1669　鍼灸枢要　山本玄通_ページ_03.jpg")</f>
        <v>ず/ず　頭　頭痛　1669　鍼灸枢要　山本玄通_ページ_03.jpg</v>
      </c>
    </row>
    <row r="3006" spans="1:2" x14ac:dyDescent="0.15">
      <c r="A3006" t="s">
        <v>2979</v>
      </c>
      <c r="B3006" t="str">
        <f>HYPERLINK("ず/ず　頭　頭痛　1669　鍼灸枢要　山本玄通_ページ_04.jpg")</f>
        <v>ず/ず　頭　頭痛　1669　鍼灸枢要　山本玄通_ページ_04.jpg</v>
      </c>
    </row>
    <row r="3007" spans="1:2" x14ac:dyDescent="0.15">
      <c r="A3007" t="s">
        <v>2980</v>
      </c>
      <c r="B3007" t="str">
        <f>HYPERLINK("ず/ず　頭　頭痛　1669　鍼灸枢要　山本玄通_ページ_05.jpg")</f>
        <v>ず/ず　頭　頭痛　1669　鍼灸枢要　山本玄通_ページ_05.jpg</v>
      </c>
    </row>
    <row r="3008" spans="1:2" x14ac:dyDescent="0.15">
      <c r="A3008" t="s">
        <v>2981</v>
      </c>
      <c r="B3008" t="str">
        <f>HYPERLINK("ず/ず　頭　頭痛　1669　鍼灸枢要　山本玄通_ページ_06.jpg")</f>
        <v>ず/ず　頭　頭痛　1669　鍼灸枢要　山本玄通_ページ_06.jpg</v>
      </c>
    </row>
    <row r="3009" spans="1:2" x14ac:dyDescent="0.15">
      <c r="A3009" t="s">
        <v>2982</v>
      </c>
      <c r="B3009" t="str">
        <f>HYPERLINK("ず/ず　頭　頭痛　1669　鍼灸枢要　山本玄通_ページ_07.jpg")</f>
        <v>ず/ず　頭　頭痛　1669　鍼灸枢要　山本玄通_ページ_07.jpg</v>
      </c>
    </row>
    <row r="3010" spans="1:2" x14ac:dyDescent="0.15">
      <c r="A3010" t="s">
        <v>2983</v>
      </c>
      <c r="B3010" t="str">
        <f>HYPERLINK("ず/ず　頭　頭痛　1669　鍼灸枢要　山本玄通_ページ_08.jpg")</f>
        <v>ず/ず　頭　頭痛　1669　鍼灸枢要　山本玄通_ページ_08.jpg</v>
      </c>
    </row>
    <row r="3011" spans="1:2" x14ac:dyDescent="0.15">
      <c r="A3011" t="s">
        <v>2984</v>
      </c>
      <c r="B3011" t="str">
        <f>HYPERLINK("ず/ず　頭　頭痛　1669　鍼灸枢要　山本玄通_ページ_09.jpg")</f>
        <v>ず/ず　頭　頭痛　1669　鍼灸枢要　山本玄通_ページ_09.jpg</v>
      </c>
    </row>
    <row r="3012" spans="1:2" x14ac:dyDescent="0.15">
      <c r="A3012" t="s">
        <v>2985</v>
      </c>
      <c r="B3012" t="str">
        <f>HYPERLINK("ず/ず　頭　頭痛　1669　鍼灸枢要　山本玄通_ページ_10.jpg")</f>
        <v>ず/ず　頭　頭痛　1669　鍼灸枢要　山本玄通_ページ_10.jpg</v>
      </c>
    </row>
    <row r="3013" spans="1:2" x14ac:dyDescent="0.15">
      <c r="A3013" t="s">
        <v>2986</v>
      </c>
      <c r="B3013" t="str">
        <f>HYPERLINK("ず/ず　頭　頭痛　1669　鍼灸枢要　山本玄通_ページ_11.jpg")</f>
        <v>ず/ず　頭　頭痛　1669　鍼灸枢要　山本玄通_ページ_11.jpg</v>
      </c>
    </row>
    <row r="3014" spans="1:2" x14ac:dyDescent="0.15">
      <c r="A3014" t="s">
        <v>2987</v>
      </c>
      <c r="B3014" t="str">
        <f>HYPERLINK("ず/ず　頭旋（頭重）　1220　鍼灸資生経　王執中.jpg")</f>
        <v>ず/ず　頭旋（頭重）　1220　鍼灸資生経　王執中.jpg</v>
      </c>
    </row>
    <row r="3015" spans="1:2" x14ac:dyDescent="0.15">
      <c r="A3015" t="s">
        <v>2988</v>
      </c>
      <c r="B3015" t="str">
        <f>HYPERLINK("ず/ず　頭熱暈　1794　杉山流鍼術　島浦和田一_ページ_1.jpg")</f>
        <v>ず/ず　頭熱暈　1794　杉山流鍼術　島浦和田一_ページ_1.jpg</v>
      </c>
    </row>
    <row r="3016" spans="1:2" x14ac:dyDescent="0.15">
      <c r="A3016" t="s">
        <v>2989</v>
      </c>
      <c r="B3016" t="str">
        <f>HYPERLINK("ず/ず　頭熱暈　1794　杉山流鍼術　島浦和田一_ページ_2.jpg")</f>
        <v>ず/ず　頭熱暈　1794　杉山流鍼術　島浦和田一_ページ_2.jpg</v>
      </c>
    </row>
    <row r="3017" spans="1:2" x14ac:dyDescent="0.15">
      <c r="A3017" t="s">
        <v>2990</v>
      </c>
      <c r="B3017" t="str">
        <f>HYPERLINK("ず/ず　頭疼　1758　灸ぜつ塩土伝　三宅意安_ページ_1.jpg")</f>
        <v>ず/ず　頭疼　1758　灸ぜつ塩土伝　三宅意安_ページ_1.jpg</v>
      </c>
    </row>
    <row r="3018" spans="1:2" x14ac:dyDescent="0.15">
      <c r="A3018" t="s">
        <v>2991</v>
      </c>
      <c r="B3018" t="str">
        <f>HYPERLINK("ず/ず　頭疼　1758　灸ぜつ塩土伝　三宅意安_ページ_2.jpg")</f>
        <v>ず/ず　頭疼　1758　灸ぜつ塩土伝　三宅意安_ページ_2.jpg</v>
      </c>
    </row>
    <row r="3019" spans="1:2" x14ac:dyDescent="0.15">
      <c r="A3019" t="s">
        <v>2992</v>
      </c>
      <c r="B3019" t="str">
        <f>HYPERLINK("ず/ず　頭病　0650　千金方　孫思ばく_ページ_1.jpg")</f>
        <v>ず/ず　頭病　0650　千金方　孫思ばく_ページ_1.jpg</v>
      </c>
    </row>
    <row r="3020" spans="1:2" x14ac:dyDescent="0.15">
      <c r="A3020" t="s">
        <v>2993</v>
      </c>
      <c r="B3020" t="str">
        <f>HYPERLINK("ず/ず　頭病　0650　千金方　孫思ばく_ページ_2.jpg")</f>
        <v>ず/ず　頭病　0650　千金方　孫思ばく_ページ_2.jpg</v>
      </c>
    </row>
    <row r="3021" spans="1:2" x14ac:dyDescent="0.15">
      <c r="A3021" t="s">
        <v>2994</v>
      </c>
      <c r="B3021" t="str">
        <f>HYPERLINK("ず/ず　頭痛　0300　●大寒内薄骨髄陽逆発頭痛　第一　鍼灸甲乙経　皇甫謐_ページ_1.jpg")</f>
        <v>ず/ず　頭痛　0300　●大寒内薄骨髄陽逆発頭痛　第一　鍼灸甲乙経　皇甫謐_ページ_1.jpg</v>
      </c>
    </row>
    <row r="3022" spans="1:2" x14ac:dyDescent="0.15">
      <c r="A3022" t="s">
        <v>2995</v>
      </c>
      <c r="B3022" t="str">
        <f>HYPERLINK("ず/ず　頭痛　0300　●大寒内薄骨髄陽逆発頭痛　第一　鍼灸甲乙経　皇甫謐_ページ_2.jpg")</f>
        <v>ず/ず　頭痛　0300　●大寒内薄骨髄陽逆発頭痛　第一　鍼灸甲乙経　皇甫謐_ページ_2.jpg</v>
      </c>
    </row>
    <row r="3023" spans="1:2" x14ac:dyDescent="0.15">
      <c r="A3023" t="s">
        <v>2996</v>
      </c>
      <c r="B3023" t="str">
        <f>HYPERLINK("ず/ず　頭痛　0650　千金方　孫思ばく.jpg")</f>
        <v>ず/ず　頭痛　0650　千金方　孫思ばく.jpg</v>
      </c>
    </row>
    <row r="3024" spans="1:2" x14ac:dyDescent="0.15">
      <c r="A3024" t="s">
        <v>2997</v>
      </c>
      <c r="B3024" t="str">
        <f>HYPERLINK("ず/ず　頭痛　1220　鍼灸資生経　王執中_ページ_1.jpg")</f>
        <v>ず/ず　頭痛　1220　鍼灸資生経　王執中_ページ_1.jpg</v>
      </c>
    </row>
    <row r="3025" spans="1:2" x14ac:dyDescent="0.15">
      <c r="A3025" t="s">
        <v>2998</v>
      </c>
      <c r="B3025" t="str">
        <f>HYPERLINK("ず/ず　頭痛　1220　鍼灸資生経　王執中_ページ_2.jpg")</f>
        <v>ず/ず　頭痛　1220　鍼灸資生経　王執中_ページ_2.jpg</v>
      </c>
    </row>
    <row r="3026" spans="1:2" x14ac:dyDescent="0.15">
      <c r="A3026" t="s">
        <v>2999</v>
      </c>
      <c r="B3026" t="str">
        <f>HYPERLINK("ず/ず　頭痛　1220　鍼灸資生経　王執中_ページ_3.jpg")</f>
        <v>ず/ず　頭痛　1220　鍼灸資生経　王執中_ページ_3.jpg</v>
      </c>
    </row>
    <row r="3027" spans="1:2" x14ac:dyDescent="0.15">
      <c r="A3027" t="s">
        <v>3000</v>
      </c>
      <c r="B3027" t="str">
        <f>HYPERLINK("ず/ず　頭痛　1537　鍼灸聚英　明・高武_ページ_1.jpg")</f>
        <v>ず/ず　頭痛　1537　鍼灸聚英　明・高武_ページ_1.jpg</v>
      </c>
    </row>
    <row r="3028" spans="1:2" x14ac:dyDescent="0.15">
      <c r="A3028" t="s">
        <v>3001</v>
      </c>
      <c r="B3028" t="str">
        <f>HYPERLINK("ず/ず　頭痛　1537　鍼灸聚英　明・高武_ページ_2.jpg")</f>
        <v>ず/ず　頭痛　1537　鍼灸聚英　明・高武_ページ_2.jpg</v>
      </c>
    </row>
    <row r="3029" spans="1:2" x14ac:dyDescent="0.15">
      <c r="A3029" t="s">
        <v>3002</v>
      </c>
      <c r="B3029" t="str">
        <f>HYPERLINK("ず/ず　頭痛　1574　兪穴参伍的法　秦宗巴.jpg")</f>
        <v>ず/ず　頭痛　1574　兪穴参伍的法　秦宗巴.jpg</v>
      </c>
    </row>
    <row r="3030" spans="1:2" x14ac:dyDescent="0.15">
      <c r="A3030" t="s">
        <v>3003</v>
      </c>
      <c r="B3030" t="str">
        <f>HYPERLINK("ず/ず　頭痛　1607　扁鵲新流鍼書　越齋寿閑.jpg")</f>
        <v>ず/ず　頭痛　1607　扁鵲新流鍼書　越齋寿閑.jpg</v>
      </c>
    </row>
    <row r="3031" spans="1:2" x14ac:dyDescent="0.15">
      <c r="A3031" t="s">
        <v>3004</v>
      </c>
      <c r="B3031" t="str">
        <f>HYPERLINK("ず/ず　頭痛　1679　鍼法奇貨　渡辺東伯_ページ_1.jpg")</f>
        <v>ず/ず　頭痛　1679　鍼法奇貨　渡辺東伯_ページ_1.jpg</v>
      </c>
    </row>
    <row r="3032" spans="1:2" x14ac:dyDescent="0.15">
      <c r="A3032" t="s">
        <v>3005</v>
      </c>
      <c r="B3032" t="str">
        <f>HYPERLINK("ず/ず　頭痛　1679　鍼法奇貨　渡辺東伯_ページ_2.jpg")</f>
        <v>ず/ず　頭痛　1679　鍼法奇貨　渡辺東伯_ページ_2.jpg</v>
      </c>
    </row>
    <row r="3033" spans="1:2" x14ac:dyDescent="0.15">
      <c r="A3033" t="s">
        <v>3006</v>
      </c>
      <c r="B3033" t="str">
        <f>HYPERLINK("ず/ず　頭痛　1679　鍼法奇貨　渡辺東伯_ページ_3.jpg")</f>
        <v>ず/ず　頭痛　1679　鍼法奇貨　渡辺東伯_ページ_3.jpg</v>
      </c>
    </row>
    <row r="3034" spans="1:2" x14ac:dyDescent="0.15">
      <c r="A3034" t="s">
        <v>3007</v>
      </c>
      <c r="B3034" t="str">
        <f>HYPERLINK("ず/ず　頭痛　1679　鍼法奇貨　渡辺東伯_ページ_4.jpg")</f>
        <v>ず/ず　頭痛　1679　鍼法奇貨　渡辺東伯_ページ_4.jpg</v>
      </c>
    </row>
    <row r="3035" spans="1:2" x14ac:dyDescent="0.15">
      <c r="A3035" t="s">
        <v>3008</v>
      </c>
      <c r="B3035" t="str">
        <f>HYPERLINK("ず/ず　頭痛　1679　鍼法奇貨　渡辺東伯_ページ_5.jpg")</f>
        <v>ず/ず　頭痛　1679　鍼法奇貨　渡辺東伯_ページ_5.jpg</v>
      </c>
    </row>
    <row r="3036" spans="1:2" x14ac:dyDescent="0.15">
      <c r="A3036" t="s">
        <v>3009</v>
      </c>
      <c r="B3036" t="str">
        <f>HYPERLINK("ず/ず　頭痛　1679　鍼法奇貨　渡辺東伯_ページ_6.jpg")</f>
        <v>ず/ず　頭痛　1679　鍼法奇貨　渡辺東伯_ページ_6.jpg</v>
      </c>
    </row>
    <row r="3037" spans="1:2" x14ac:dyDescent="0.15">
      <c r="A3037" t="s">
        <v>3010</v>
      </c>
      <c r="B3037" t="str">
        <f>HYPERLINK("ず/ず　頭痛　1679　鍼法奇貨　渡辺東伯_ページ_7.jpg")</f>
        <v>ず/ず　頭痛　1679　鍼法奇貨　渡辺東伯_ページ_7.jpg</v>
      </c>
    </row>
    <row r="3038" spans="1:2" x14ac:dyDescent="0.15">
      <c r="A3038" t="s">
        <v>3011</v>
      </c>
      <c r="B3038" t="str">
        <f>HYPERLINK("ず/ず　頭痛　1680　鍼灸抜萃　著者未詳.jpg")</f>
        <v>ず/ず　頭痛　1680　鍼灸抜萃　著者未詳.jpg</v>
      </c>
    </row>
    <row r="3039" spans="1:2" x14ac:dyDescent="0.15">
      <c r="A3039" t="s">
        <v>3012</v>
      </c>
      <c r="B3039" t="str">
        <f>HYPERLINK("ず/ず　頭痛　1686　鍼灸要法指南　岩田利斎_ページ_1.jpg")</f>
        <v>ず/ず　頭痛　1686　鍼灸要法指南　岩田利斎_ページ_1.jpg</v>
      </c>
    </row>
    <row r="3040" spans="1:2" x14ac:dyDescent="0.15">
      <c r="A3040" t="s">
        <v>3013</v>
      </c>
      <c r="B3040" t="str">
        <f>HYPERLINK("ず/ず　頭痛　1686　鍼灸要法指南　岩田利斎_ページ_2.jpg")</f>
        <v>ず/ず　頭痛　1686　鍼灸要法指南　岩田利斎_ページ_2.jpg</v>
      </c>
    </row>
    <row r="3041" spans="1:2" x14ac:dyDescent="0.15">
      <c r="A3041" t="s">
        <v>3014</v>
      </c>
      <c r="B3041" t="str">
        <f>HYPERLINK("ず/ず　頭痛　1693　鍼灸要歌集　安井昌玄_ページ_1.jpg")</f>
        <v>ず/ず　頭痛　1693　鍼灸要歌集　安井昌玄_ページ_1.jpg</v>
      </c>
    </row>
    <row r="3042" spans="1:2" x14ac:dyDescent="0.15">
      <c r="A3042" t="s">
        <v>3015</v>
      </c>
      <c r="B3042" t="str">
        <f>HYPERLINK("ず/ず　頭痛　1693　鍼灸要歌集　安井昌玄_ページ_2.jpg")</f>
        <v>ず/ず　頭痛　1693　鍼灸要歌集　安井昌玄_ページ_2.jpg</v>
      </c>
    </row>
    <row r="3043" spans="1:2" x14ac:dyDescent="0.15">
      <c r="A3043" t="s">
        <v>3016</v>
      </c>
      <c r="B3043" t="str">
        <f>HYPERLINK("ず/ず　頭痛　1694　療治之大概集　杉山和一.jpg")</f>
        <v>ず/ず　頭痛　1694　療治之大概集　杉山和一.jpg</v>
      </c>
    </row>
    <row r="3044" spans="1:2" x14ac:dyDescent="0.15">
      <c r="A3044" t="s">
        <v>3017</v>
      </c>
      <c r="B3044" t="str">
        <f>HYPERLINK("ず/ず　頭痛　1694　鍼灸そかい集　高津敬節_ページ_1.jpg")</f>
        <v>ず/ず　頭痛　1694　鍼灸そかい集　高津敬節_ページ_1.jpg</v>
      </c>
    </row>
    <row r="3045" spans="1:2" x14ac:dyDescent="0.15">
      <c r="A3045" t="s">
        <v>3018</v>
      </c>
      <c r="B3045" t="str">
        <f>HYPERLINK("ず/ず　頭痛　1694　鍼灸そかい集　高津敬節_ページ_2.jpg")</f>
        <v>ず/ず　頭痛　1694　鍼灸そかい集　高津敬節_ページ_2.jpg</v>
      </c>
    </row>
    <row r="3046" spans="1:2" x14ac:dyDescent="0.15">
      <c r="A3046" t="s">
        <v>3019</v>
      </c>
      <c r="B3046" t="str">
        <f>HYPERLINK("ず/ず　頭痛　1696　広益鍼灸抜萃　著者未詳_ページ_1.jpg")</f>
        <v>ず/ず　頭痛　1696　広益鍼灸抜萃　著者未詳_ページ_1.jpg</v>
      </c>
    </row>
    <row r="3047" spans="1:2" x14ac:dyDescent="0.15">
      <c r="A3047" t="s">
        <v>3020</v>
      </c>
      <c r="B3047" t="str">
        <f>HYPERLINK("ず/ず　頭痛　1696　広益鍼灸抜萃　著者未詳_ページ_2.jpg")</f>
        <v>ず/ず　頭痛　1696　広益鍼灸抜萃　著者未詳_ページ_2.jpg</v>
      </c>
    </row>
    <row r="3048" spans="1:2" x14ac:dyDescent="0.15">
      <c r="A3048" t="s">
        <v>3021</v>
      </c>
      <c r="B3048" t="str">
        <f>HYPERLINK("ず/ず　頭痛　1698　鍼灸抜粋大成　岡本一抱.jpg")</f>
        <v>ず/ず　頭痛　1698　鍼灸抜粋大成　岡本一抱.jpg</v>
      </c>
    </row>
    <row r="3049" spans="1:2" x14ac:dyDescent="0.15">
      <c r="A3049" t="s">
        <v>3022</v>
      </c>
      <c r="B3049" t="str">
        <f>HYPERLINK("ず/ず　頭痛　1718　かしらいたむ　鍼灸重宝記　本郷正豊.jpg")</f>
        <v>ず/ず　頭痛　1718　かしらいたむ　鍼灸重宝記　本郷正豊.jpg</v>
      </c>
    </row>
    <row r="3050" spans="1:2" x14ac:dyDescent="0.15">
      <c r="A3050" t="s">
        <v>3023</v>
      </c>
      <c r="B3050" t="str">
        <f>HYPERLINK("ず/ず　頭痛　1767　鍼灸則　菅沼周桂.jpg")</f>
        <v>ず/ず　頭痛　1767　鍼灸則　菅沼周桂.jpg</v>
      </c>
    </row>
    <row r="3051" spans="1:2" x14ac:dyDescent="0.15">
      <c r="A3051" t="s">
        <v>3024</v>
      </c>
      <c r="B3051" t="str">
        <f>HYPERLINK("ず/ず　頭痛　1767　鍼灸則　菅沼周桂_ページ_1.jpg")</f>
        <v>ず/ず　頭痛　1767　鍼灸則　菅沼周桂_ページ_1.jpg</v>
      </c>
    </row>
    <row r="3052" spans="1:2" x14ac:dyDescent="0.15">
      <c r="A3052" t="s">
        <v>3025</v>
      </c>
      <c r="B3052" t="str">
        <f>HYPERLINK("ず/ず　頭痛　1767　鍼灸則　菅沼周桂_ページ_2.jpg")</f>
        <v>ず/ず　頭痛　1767　鍼灸則　菅沼周桂_ページ_2.jpg</v>
      </c>
    </row>
    <row r="3053" spans="1:2" x14ac:dyDescent="0.15">
      <c r="A3053" t="s">
        <v>3026</v>
      </c>
      <c r="B3053" t="str">
        <f>HYPERLINK("ず/ず　頭痛　1773　鍼灸手引草　大簡室主人.jpg")</f>
        <v>ず/ず　頭痛　1773　鍼灸手引草　大簡室主人.jpg</v>
      </c>
    </row>
    <row r="3054" spans="1:2" x14ac:dyDescent="0.15">
      <c r="A3054" t="s">
        <v>3027</v>
      </c>
      <c r="B3054" t="str">
        <f>HYPERLINK("ず/ず　頭痛　1780　づつう　鍼灸極秘伝　木村太沖.jpg")</f>
        <v>ず/ず　頭痛　1780　づつう　鍼灸極秘伝　木村太沖.jpg</v>
      </c>
    </row>
    <row r="3055" spans="1:2" x14ac:dyDescent="0.15">
      <c r="A3055" t="s">
        <v>3028</v>
      </c>
      <c r="B3055" t="str">
        <f>HYPERLINK("ず/ず　頭痛　1785　鍼書　本城義軒_ページ_1.jpg")</f>
        <v>ず/ず　頭痛　1785　鍼書　本城義軒_ページ_1.jpg</v>
      </c>
    </row>
    <row r="3056" spans="1:2" x14ac:dyDescent="0.15">
      <c r="A3056" t="s">
        <v>3029</v>
      </c>
      <c r="B3056" t="str">
        <f>HYPERLINK("ず/ず　頭痛　1785　鍼書　本城義軒_ページ_2.jpg")</f>
        <v>ず/ず　頭痛　1785　鍼書　本城義軒_ページ_2.jpg</v>
      </c>
    </row>
    <row r="3057" spans="1:2" x14ac:dyDescent="0.15">
      <c r="A3057" t="s">
        <v>3030</v>
      </c>
      <c r="B3057" t="str">
        <f>HYPERLINK("ず/ず　頭痛　1792　鍼法要集　源長起_ページ_1.jpg")</f>
        <v>ず/ず　頭痛　1792　鍼法要集　源長起_ページ_1.jpg</v>
      </c>
    </row>
    <row r="3058" spans="1:2" x14ac:dyDescent="0.15">
      <c r="A3058" t="s">
        <v>3031</v>
      </c>
      <c r="B3058" t="str">
        <f>HYPERLINK("ず/ず　頭痛　1792　鍼法要集　源長起_ページ_2.jpg")</f>
        <v>ず/ず　頭痛　1792　鍼法要集　源長起_ページ_2.jpg</v>
      </c>
    </row>
    <row r="3059" spans="1:2" x14ac:dyDescent="0.15">
      <c r="A3059" t="s">
        <v>3032</v>
      </c>
      <c r="B3059" t="str">
        <f>HYPERLINK("ず/ず　頭痛　1792　鍼法要集　源長起_ページ_3.jpg")</f>
        <v>ず/ず　頭痛　1792　鍼法要集　源長起_ページ_3.jpg</v>
      </c>
    </row>
    <row r="3060" spans="1:2" x14ac:dyDescent="0.15">
      <c r="A3060" t="s">
        <v>3033</v>
      </c>
      <c r="B3060" t="str">
        <f>HYPERLINK("ず/ず　頭痛　1794　杉山流鍼術　島浦和田一.jpg")</f>
        <v>ず/ず　頭痛　1794　杉山流鍼術　島浦和田一.jpg</v>
      </c>
    </row>
    <row r="3061" spans="1:2" x14ac:dyDescent="0.15">
      <c r="A3061" t="s">
        <v>3034</v>
      </c>
      <c r="B3061" t="str">
        <f>HYPERLINK("ず/ず　頭痛　1800　岡田流鍼術書　岡田見龍_ページ_1.jpg")</f>
        <v>ず/ず　頭痛　1800　岡田流鍼術書　岡田見龍_ページ_1.jpg</v>
      </c>
    </row>
    <row r="3062" spans="1:2" x14ac:dyDescent="0.15">
      <c r="A3062" t="s">
        <v>3035</v>
      </c>
      <c r="B3062" t="str">
        <f>HYPERLINK("ず/ず　頭痛　1800　岡田流鍼術書　岡田見龍_ページ_2.jpg")</f>
        <v>ず/ず　頭痛　1800　岡田流鍼術書　岡田見龍_ページ_2.jpg</v>
      </c>
    </row>
    <row r="3063" spans="1:2" x14ac:dyDescent="0.15">
      <c r="A3063" t="s">
        <v>3036</v>
      </c>
      <c r="B3063" t="str">
        <f>HYPERLINK("ず/ず　頭痛　1800　鍼灸備要　小坂元祐_ページ_1.jpg")</f>
        <v>ず/ず　頭痛　1800　鍼灸備要　小坂元祐_ページ_1.jpg</v>
      </c>
    </row>
    <row r="3064" spans="1:2" x14ac:dyDescent="0.15">
      <c r="A3064" t="s">
        <v>3037</v>
      </c>
      <c r="B3064" t="str">
        <f>HYPERLINK("ず/ず　頭痛　1800　鍼灸備要　小坂元祐_ページ_2.jpg")</f>
        <v>ず/ず　頭痛　1800　鍼灸備要　小坂元祐_ページ_2.jpg</v>
      </c>
    </row>
    <row r="3065" spans="1:2" x14ac:dyDescent="0.15">
      <c r="A3065" t="s">
        <v>3038</v>
      </c>
      <c r="B3065" t="str">
        <f>HYPERLINK("ず/ず　頭痛　1800　鍼灸備要　小坂元祐_ページ_3.jpg")</f>
        <v>ず/ず　頭痛　1800　鍼灸備要　小坂元祐_ページ_3.jpg</v>
      </c>
    </row>
    <row r="3066" spans="1:2" x14ac:dyDescent="0.15">
      <c r="A3066" t="s">
        <v>3039</v>
      </c>
      <c r="B3066" t="str">
        <f>HYPERLINK("ず/ず　頭痛　1800　鍼灸備要　小坂元祐_ページ_4.jpg")</f>
        <v>ず/ず　頭痛　1800　鍼灸備要　小坂元祐_ページ_4.jpg</v>
      </c>
    </row>
    <row r="3067" spans="1:2" x14ac:dyDescent="0.15">
      <c r="A3067" t="s">
        <v>3040</v>
      </c>
      <c r="B3067" t="str">
        <f>HYPERLINK("ず/ず　頭痛　づつう　脳充血　1887（明治20）　鍼灸備要　青山道醇_ページ_1.jpg")</f>
        <v>ず/ず　頭痛　づつう　脳充血　1887（明治20）　鍼灸備要　青山道醇_ページ_1.jpg</v>
      </c>
    </row>
    <row r="3068" spans="1:2" x14ac:dyDescent="0.15">
      <c r="A3068" t="s">
        <v>3041</v>
      </c>
      <c r="B3068" t="str">
        <f>HYPERLINK("ず/ず　頭痛　づつう　脳充血　1887（明治20）　鍼灸備要　青山道醇_ページ_2.jpg")</f>
        <v>ず/ず　頭痛　づつう　脳充血　1887（明治20）　鍼灸備要　青山道醇_ページ_2.jpg</v>
      </c>
    </row>
    <row r="3069" spans="1:2" x14ac:dyDescent="0.15">
      <c r="A3069" t="s">
        <v>3042</v>
      </c>
      <c r="B3069" t="str">
        <f>HYPERLINK("ず/ず　頭痛　成書年未詳　灸穴集　著者未詳_ページ_1.jpg")</f>
        <v>ず/ず　頭痛　成書年未詳　灸穴集　著者未詳_ページ_1.jpg</v>
      </c>
    </row>
    <row r="3070" spans="1:2" x14ac:dyDescent="0.15">
      <c r="A3070" t="s">
        <v>3043</v>
      </c>
      <c r="B3070" t="str">
        <f>HYPERLINK("ず/ず　頭痛　成書年未詳　灸穴集　著者未詳_ページ_2.jpg")</f>
        <v>ず/ず　頭痛　成書年未詳　灸穴集　著者未詳_ページ_2.jpg</v>
      </c>
    </row>
    <row r="3071" spans="1:2" x14ac:dyDescent="0.15">
      <c r="A3071" t="s">
        <v>3044</v>
      </c>
      <c r="B3071" t="str">
        <f>HYPERLINK("ず/ず　頭痛　成書年未詳　経穴図解　著者未詳.jpg")</f>
        <v>ず/ず　頭痛　成書年未詳　経穴図解　著者未詳.jpg</v>
      </c>
    </row>
    <row r="3072" spans="1:2" x14ac:dyDescent="0.15">
      <c r="A3072" t="s">
        <v>3045</v>
      </c>
      <c r="B3072" t="str">
        <f>HYPERLINK("ず/ず　頭痛　眩暈　1807　続名家灸選　平井庸信_ページ_1.jpg")</f>
        <v>ず/ず　頭痛　眩暈　1807　続名家灸選　平井庸信_ページ_1.jpg</v>
      </c>
    </row>
    <row r="3073" spans="1:2" x14ac:dyDescent="0.15">
      <c r="A3073" t="s">
        <v>3046</v>
      </c>
      <c r="B3073" t="str">
        <f>HYPERLINK("ず/ず　頭痛　眩暈　1807　続名家灸選　平井庸信_ページ_2.jpg")</f>
        <v>ず/ず　頭痛　眩暈　1807　続名家灸選　平井庸信_ページ_2.jpg</v>
      </c>
    </row>
    <row r="3074" spans="1:2" x14ac:dyDescent="0.15">
      <c r="A3074" t="s">
        <v>3047</v>
      </c>
      <c r="B3074" t="str">
        <f>HYPERLINK("ず/ず　頭痛　眩暈　1807　続名家灸選　平井庸信_ページ_3.jpg")</f>
        <v>ず/ず　頭痛　眩暈　1807　続名家灸選　平井庸信_ページ_3.jpg</v>
      </c>
    </row>
    <row r="3075" spans="1:2" x14ac:dyDescent="0.15">
      <c r="A3075" t="s">
        <v>3048</v>
      </c>
      <c r="B3075" t="str">
        <f>HYPERLINK("ず/ず　頭痛、偏頭痛、目暈　1912年（大正01）　鍼灸手引草　久木田七郎.jpg")</f>
        <v>ず/ず　頭痛、偏頭痛、目暈　1912年（大正01）　鍼灸手引草　久木田七郎.jpg</v>
      </c>
    </row>
    <row r="3076" spans="1:2" x14ac:dyDescent="0.15">
      <c r="A3076" t="s">
        <v>3049</v>
      </c>
      <c r="B3076" t="str">
        <f>HYPERLINK("ず/ず　頭痛之針穴　1613　古今集鍼法　長生庵了味か_ページ_1.jpg")</f>
        <v>ず/ず　頭痛之針穴　1613　古今集鍼法　長生庵了味か_ページ_1.jpg</v>
      </c>
    </row>
    <row r="3077" spans="1:2" x14ac:dyDescent="0.15">
      <c r="A3077" t="s">
        <v>3050</v>
      </c>
      <c r="B3077" t="str">
        <f>HYPERLINK("ず/ず　頭痛之針穴　1613　古今集鍼法　長生庵了味か_ページ_2.jpg")</f>
        <v>ず/ず　頭痛之針穴　1613　古今集鍼法　長生庵了味か_ページ_2.jpg</v>
      </c>
    </row>
    <row r="3078" spans="1:2" x14ac:dyDescent="0.15">
      <c r="A3078" t="s">
        <v>3051</v>
      </c>
      <c r="B3078" t="str">
        <f>HYPERLINK("ず/ず　頭痛奇兪　1703　鍼灸阿是要穴　岡本一抱_ページ_1.jpg")</f>
        <v>ず/ず　頭痛奇兪　1703　鍼灸阿是要穴　岡本一抱_ページ_1.jpg</v>
      </c>
    </row>
    <row r="3079" spans="1:2" x14ac:dyDescent="0.15">
      <c r="A3079" t="s">
        <v>3052</v>
      </c>
      <c r="B3079" t="str">
        <f>HYPERLINK("ず/ず　頭痛奇兪　1703　鍼灸阿是要穴　岡本一抱_ページ_2.jpg")</f>
        <v>ず/ず　頭痛奇兪　1703　鍼灸阿是要穴　岡本一抱_ページ_2.jpg</v>
      </c>
    </row>
    <row r="3080" spans="1:2" x14ac:dyDescent="0.15">
      <c r="A3080" t="s">
        <v>3053</v>
      </c>
      <c r="B3080" t="str">
        <f>HYPERLINK("ず/ず　頭痛如破　1794　杉山流鍼術　島浦和田一.jpg")</f>
        <v>ず/ず　頭痛如破　1794　杉山流鍼術　島浦和田一.jpg</v>
      </c>
    </row>
    <row r="3081" spans="1:2" x14ac:dyDescent="0.15">
      <c r="A3081" t="s">
        <v>3054</v>
      </c>
      <c r="B3081" t="str">
        <f>HYPERLINK("ず/ず　頭痛項強重不能挙脊反折不能及顧　1794　杉山流鍼術　島浦和田一.jpg")</f>
        <v>ず/ず　頭痛項強重不能挙脊反折不能及顧　1794　杉山流鍼術　島浦和田一.jpg</v>
      </c>
    </row>
    <row r="3082" spans="1:2" x14ac:dyDescent="0.15">
      <c r="A3082" t="s">
        <v>3055</v>
      </c>
      <c r="B3082" t="str">
        <f>HYPERLINK("ず/ず　頭眩　1537　鍼灸聚英　明・高武.jpg")</f>
        <v>ず/ず　頭眩　1537　鍼灸聚英　明・高武.jpg</v>
      </c>
    </row>
    <row r="3083" spans="1:2" x14ac:dyDescent="0.15">
      <c r="A3083" t="s">
        <v>3056</v>
      </c>
      <c r="B3083" t="str">
        <f>HYPERLINK("ず/ず　頭眩　1563　鍼灸集要　曲直瀬道三.jpg")</f>
        <v>ず/ず　頭眩　1563　鍼灸集要　曲直瀬道三.jpg</v>
      </c>
    </row>
    <row r="3084" spans="1:2" x14ac:dyDescent="0.15">
      <c r="A3084" t="s">
        <v>3057</v>
      </c>
      <c r="B3084" t="str">
        <f>HYPERLINK("ず/ず　頭胸痛嘔吐痃暈（＝眩暈）　1329　扁鵲神応鍼灸玉龍経　元・王国瑞_ページ_1.jpg")</f>
        <v>ず/ず　頭胸痛嘔吐痃暈（＝眩暈）　1329　扁鵲神応鍼灸玉龍経　元・王国瑞_ページ_1.jpg</v>
      </c>
    </row>
    <row r="3085" spans="1:2" x14ac:dyDescent="0.15">
      <c r="A3085" t="s">
        <v>3058</v>
      </c>
      <c r="B3085" t="str">
        <f>HYPERLINK("ず/ず　頭胸痛嘔吐痃暈（＝眩暈）　1329　扁鵲神応鍼灸玉龍経　元・王国瑞_ページ_2.jpg")</f>
        <v>ず/ず　頭胸痛嘔吐痃暈（＝眩暈）　1329　扁鵲神応鍼灸玉龍経　元・王国瑞_ページ_2.jpg</v>
      </c>
    </row>
    <row r="3086" spans="1:2" x14ac:dyDescent="0.15">
      <c r="A3086" t="s">
        <v>3059</v>
      </c>
      <c r="B3086" t="str">
        <f>HYPERLINK("ず/ず　頭腫　1220　鍼灸資生経　王執中.jpg")</f>
        <v>ず/ず　頭腫　1220　鍼灸資生経　王執中.jpg</v>
      </c>
    </row>
    <row r="3087" spans="1:2" x14ac:dyDescent="0.15">
      <c r="A3087" t="s">
        <v>3060</v>
      </c>
      <c r="B3087" t="str">
        <f>HYPERLINK("ず/ず　頭腫痛　1794　杉山流鍼術　島浦和田一.jpg")</f>
        <v>ず/ず　頭腫痛　1794　杉山流鍼術　島浦和田一.jpg</v>
      </c>
    </row>
    <row r="3088" spans="1:2" x14ac:dyDescent="0.15">
      <c r="A3088" t="s">
        <v>3061</v>
      </c>
      <c r="B3088" t="str">
        <f>HYPERLINK("ず/ず　頭面部　1425　神応経　明・陳会撰・劉瑾重校_ページ_1.jpg")</f>
        <v>ず/ず　頭面部　1425　神応経　明・陳会撰・劉瑾重校_ページ_1.jpg</v>
      </c>
    </row>
    <row r="3089" spans="1:2" x14ac:dyDescent="0.15">
      <c r="A3089" t="s">
        <v>3062</v>
      </c>
      <c r="B3089" t="str">
        <f>HYPERLINK("ず/ず　頭面部　1425　神応経　明・陳会撰・劉瑾重校_ページ_2.jpg")</f>
        <v>ず/ず　頭面部　1425　神応経　明・陳会撰・劉瑾重校_ページ_2.jpg</v>
      </c>
    </row>
    <row r="3090" spans="1:2" x14ac:dyDescent="0.15">
      <c r="A3090" t="s">
        <v>3063</v>
      </c>
      <c r="B3090" t="str">
        <f>HYPERLINK("ず/ず　頭面部　1425　神応経　明・陳会撰・劉瑾重校_ページ_3.jpg")</f>
        <v>ず/ず　頭面部　1425　神応経　明・陳会撰・劉瑾重校_ページ_3.jpg</v>
      </c>
    </row>
    <row r="3091" spans="1:2" x14ac:dyDescent="0.15">
      <c r="A3091" t="s">
        <v>3064</v>
      </c>
      <c r="B3091" t="str">
        <f>HYPERLINK("ず/ず　頭項強痛　1329　扁鵲神応鍼灸玉龍経　元・王国瑞_ページ_1.jpg")</f>
        <v>ず/ず　頭項強痛　1329　扁鵲神応鍼灸玉龍経　元・王国瑞_ページ_1.jpg</v>
      </c>
    </row>
    <row r="3092" spans="1:2" x14ac:dyDescent="0.15">
      <c r="A3092" t="s">
        <v>3065</v>
      </c>
      <c r="B3092" t="str">
        <f>HYPERLINK("ず/ず　頭項強痛　1329　扁鵲神応鍼灸玉龍経　元・王国瑞_ページ_2.jpg")</f>
        <v>ず/ず　頭項強痛　1329　扁鵲神応鍼灸玉龍経　元・王国瑞_ページ_2.jpg</v>
      </c>
    </row>
    <row r="3093" spans="1:2" x14ac:dyDescent="0.15">
      <c r="A3093" t="s">
        <v>3066</v>
      </c>
      <c r="B3093" t="str">
        <f>HYPERLINK("ず/ず　頭項拘急して引肩背痛　1794　杉山流鍼術　島浦和田一.jpg")</f>
        <v>ず/ず　頭項拘急して引肩背痛　1794　杉山流鍼術　島浦和田一.jpg</v>
      </c>
    </row>
    <row r="3094" spans="1:2" x14ac:dyDescent="0.15">
      <c r="A3094" t="s">
        <v>3067</v>
      </c>
      <c r="B3094" t="str">
        <f>HYPERLINK("ず/ず　頭風　1220　鍼灸資生経　王執中_ページ_1.jpg")</f>
        <v>ず/ず　頭風　1220　鍼灸資生経　王執中_ページ_1.jpg</v>
      </c>
    </row>
    <row r="3095" spans="1:2" x14ac:dyDescent="0.15">
      <c r="A3095" t="s">
        <v>3068</v>
      </c>
      <c r="B3095" t="str">
        <f>HYPERLINK("ず/ず　頭風　1220　鍼灸資生経　王執中_ページ_2.jpg")</f>
        <v>ず/ず　頭風　1220　鍼灸資生経　王執中_ページ_2.jpg</v>
      </c>
    </row>
    <row r="3096" spans="1:2" x14ac:dyDescent="0.15">
      <c r="A3096" t="s">
        <v>3069</v>
      </c>
      <c r="B3096" t="str">
        <f>HYPERLINK("ず/ず　頭風　1329　扁鵲神応鍼灸玉龍経　元・王国瑞_ページ_1.jpg")</f>
        <v>ず/ず　頭風　1329　扁鵲神応鍼灸玉龍経　元・王国瑞_ページ_1.jpg</v>
      </c>
    </row>
    <row r="3097" spans="1:2" x14ac:dyDescent="0.15">
      <c r="A3097" t="s">
        <v>3070</v>
      </c>
      <c r="B3097" t="str">
        <f>HYPERLINK("ず/ず　頭風　1329　扁鵲神応鍼灸玉龍経　元・王国瑞_ページ_2.jpg")</f>
        <v>ず/ず　頭風　1329　扁鵲神応鍼灸玉龍経　元・王国瑞_ページ_2.jpg</v>
      </c>
    </row>
    <row r="3098" spans="1:2" x14ac:dyDescent="0.15">
      <c r="A3098" t="s">
        <v>3071</v>
      </c>
      <c r="B3098" t="str">
        <f>HYPERLINK("ず/ず　頭風　1563　鍼灸集要　曲直瀬道三.jpg")</f>
        <v>ず/ず　頭風　1563　鍼灸集要　曲直瀬道三.jpg</v>
      </c>
    </row>
    <row r="3099" spans="1:2" x14ac:dyDescent="0.15">
      <c r="A3099" t="s">
        <v>3072</v>
      </c>
      <c r="B3099" t="str">
        <f>HYPERLINK("ず/ず　頭風妙灸　1594　経脈方寸秘書　曲直瀬道三.jpg")</f>
        <v>ず/ず　頭風妙灸　1594　経脈方寸秘書　曲直瀬道三.jpg</v>
      </c>
    </row>
    <row r="3100" spans="1:2" x14ac:dyDescent="0.15">
      <c r="A3100" t="s">
        <v>3073</v>
      </c>
      <c r="B3100" t="str">
        <f>HYPERLINK("ず/ず　頭風痰飲　1329　扁鵲神応鍼灸玉龍経　元・王国瑞.jpg")</f>
        <v>ず/ず　頭風痰飲　1329　扁鵲神応鍼灸玉龍経　元・王国瑞.jpg</v>
      </c>
    </row>
    <row r="3101" spans="1:2" x14ac:dyDescent="0.15">
      <c r="A3101" t="s">
        <v>3074</v>
      </c>
      <c r="B3101" t="str">
        <f>HYPERLINK("ず/ず　頭風眩暈　1794　杉山流鍼術　島浦和田一_ページ_1.jpg")</f>
        <v>ず/ず　頭風眩暈　1794　杉山流鍼術　島浦和田一_ページ_1.jpg</v>
      </c>
    </row>
    <row r="3102" spans="1:2" x14ac:dyDescent="0.15">
      <c r="A3102" t="s">
        <v>3075</v>
      </c>
      <c r="B3102" t="str">
        <f>HYPERLINK("ず/ず　頭風眩暈　1794　杉山流鍼術　島浦和田一_ページ_2.jpg")</f>
        <v>ず/ず　頭風眩暈　1794　杉山流鍼術　島浦和田一_ページ_2.jpg</v>
      </c>
    </row>
    <row r="3103" spans="1:2" x14ac:dyDescent="0.15">
      <c r="A3103" t="s">
        <v>3076</v>
      </c>
      <c r="B3103" t="str">
        <f>HYPERLINK("ず/ず　頭風遇風寒悪心嘔吐　1794　杉山流鍼術　島浦和田一.jpg")</f>
        <v>ず/ず　頭風遇風寒悪心嘔吐　1794　杉山流鍼術　島浦和田一.jpg</v>
      </c>
    </row>
    <row r="3104" spans="1:2" x14ac:dyDescent="0.15">
      <c r="A3104" t="s">
        <v>3077</v>
      </c>
      <c r="B3104" t="str">
        <f>HYPERLINK("ず/ず　頭風項痛　目眩　1299　続添要穴集　惟宗時俊_ページ_1.jpg")</f>
        <v>ず/ず　頭風項痛　目眩　1299　続添要穴集　惟宗時俊_ページ_1.jpg</v>
      </c>
    </row>
    <row r="3105" spans="1:2" x14ac:dyDescent="0.15">
      <c r="A3105" t="s">
        <v>3078</v>
      </c>
      <c r="B3105" t="str">
        <f>HYPERLINK("ず/ず　頭風項痛　目眩　1299　続添要穴集　惟宗時俊_ページ_2.jpg")</f>
        <v>ず/ず　頭風項痛　目眩　1299　続添要穴集　惟宗時俊_ページ_2.jpg</v>
      </c>
    </row>
    <row r="3106" spans="1:2" x14ac:dyDescent="0.15">
      <c r="A3106" t="s">
        <v>3079</v>
      </c>
      <c r="B3106" t="str">
        <f>HYPERLINK("せ/せい　せいちゅう　1767　鍼灸則　菅沼周桂.jpg")</f>
        <v>せ/せい　せいちゅう　1767　鍼灸則　菅沼周桂.jpg</v>
      </c>
    </row>
    <row r="3107" spans="1:2" x14ac:dyDescent="0.15">
      <c r="A3107" t="s">
        <v>3080</v>
      </c>
      <c r="B3107" t="str">
        <f>HYPERLINK("せ/せい　せいちゅう　1773　鍼灸手引草　大簡室主人.jpg")</f>
        <v>せ/せい　せいちゅう　1773　鍼灸手引草　大簡室主人.jpg</v>
      </c>
    </row>
    <row r="3108" spans="1:2" x14ac:dyDescent="0.15">
      <c r="A3108" t="s">
        <v>3081</v>
      </c>
      <c r="B3108" t="str">
        <f>HYPERLINK("せ/せい　せいちゅう　むなさわぎ　1686　鍼灸要法指南　岩田利斎.jpg")</f>
        <v>せ/せい　せいちゅう　むなさわぎ　1686　鍼灸要法指南　岩田利斎.jpg</v>
      </c>
    </row>
    <row r="3109" spans="1:2" x14ac:dyDescent="0.15">
      <c r="A3109" t="s">
        <v>3082</v>
      </c>
      <c r="B3109" t="str">
        <f>HYPERLINK("せ/せい　せいちゅう　胸おどり血虚なり　1794　杉山流鍼術　島浦和田一.jpg")</f>
        <v>せ/せい　せいちゅう　胸おどり血虚なり　1794　杉山流鍼術　島浦和田一.jpg</v>
      </c>
    </row>
    <row r="3110" spans="1:2" x14ac:dyDescent="0.15">
      <c r="A3110" t="s">
        <v>3083</v>
      </c>
      <c r="B3110" t="str">
        <f>HYPERLINK("せ/せい　せいちゅう　驚悸　1669　鍼灸枢要　山本玄通_ページ_1.jpg")</f>
        <v>せ/せい　せいちゅう　驚悸　1669　鍼灸枢要　山本玄通_ページ_1.jpg</v>
      </c>
    </row>
    <row r="3111" spans="1:2" x14ac:dyDescent="0.15">
      <c r="A3111" t="s">
        <v>3084</v>
      </c>
      <c r="B3111" t="str">
        <f>HYPERLINK("せ/せい　せいちゅう　驚悸　1669　鍼灸枢要　山本玄通_ページ_2.jpg")</f>
        <v>せ/せい　せいちゅう　驚悸　1669　鍼灸枢要　山本玄通_ページ_2.jpg</v>
      </c>
    </row>
    <row r="3112" spans="1:2" x14ac:dyDescent="0.15">
      <c r="A3112" t="s">
        <v>3085</v>
      </c>
      <c r="B3112" t="str">
        <f>HYPERLINK("せ/せい　せいちゅう　驚悸　1669　鍼灸枢要　山本玄通_ページ_3.jpg")</f>
        <v>せ/せい　せいちゅう　驚悸　1669　鍼灸枢要　山本玄通_ページ_3.jpg</v>
      </c>
    </row>
    <row r="3113" spans="1:2" x14ac:dyDescent="0.15">
      <c r="A3113" t="s">
        <v>3086</v>
      </c>
      <c r="B3113" t="str">
        <f>HYPERLINK("せ/せい　せいちゅう　驚悸　1800　鍼灸備要　小坂元祐_ページ_1.jpg")</f>
        <v>せ/せい　せいちゅう　驚悸　1800　鍼灸備要　小坂元祐_ページ_1.jpg</v>
      </c>
    </row>
    <row r="3114" spans="1:2" x14ac:dyDescent="0.15">
      <c r="A3114" t="s">
        <v>3087</v>
      </c>
      <c r="B3114" t="str">
        <f>HYPERLINK("せ/せい　せいちゅう　驚悸　1800　鍼灸備要　小坂元祐_ページ_2.jpg")</f>
        <v>せ/せい　せいちゅう　驚悸　1800　鍼灸備要　小坂元祐_ページ_2.jpg</v>
      </c>
    </row>
    <row r="3115" spans="1:2" x14ac:dyDescent="0.15">
      <c r="A3115" t="s">
        <v>3088</v>
      </c>
      <c r="B3115" t="str">
        <f>HYPERLINK("せ/せい　せい悸　1679　鍼法奇貨　渡辺東伯_ページ_1.jpg")</f>
        <v>せ/せい　せい悸　1679　鍼法奇貨　渡辺東伯_ページ_1.jpg</v>
      </c>
    </row>
    <row r="3116" spans="1:2" x14ac:dyDescent="0.15">
      <c r="A3116" t="s">
        <v>3089</v>
      </c>
      <c r="B3116" t="str">
        <f>HYPERLINK("せ/せい　せい悸　1679　鍼法奇貨　渡辺東伯_ページ_2.jpg")</f>
        <v>せ/せい　せい悸　1679　鍼法奇貨　渡辺東伯_ページ_2.jpg</v>
      </c>
    </row>
    <row r="3117" spans="1:2" x14ac:dyDescent="0.15">
      <c r="A3117" t="s">
        <v>3090</v>
      </c>
      <c r="B3117" t="str">
        <f>HYPERLINK("せ/せい　せい悸　1679　鍼法奇貨　渡辺東伯_ページ_3.jpg")</f>
        <v>せ/せい　せい悸　1679　鍼法奇貨　渡辺東伯_ページ_3.jpg</v>
      </c>
    </row>
    <row r="3118" spans="1:2" x14ac:dyDescent="0.15">
      <c r="A3118" t="s">
        <v>3091</v>
      </c>
      <c r="B3118" t="str">
        <f>HYPERLINK("せ/せい　せい疾奇兪　1758　灸ぜつ塩土伝　三宅意安_ページ_1.jpg")</f>
        <v>せ/せい　せい疾奇兪　1758　灸ぜつ塩土伝　三宅意安_ページ_1.jpg</v>
      </c>
    </row>
    <row r="3119" spans="1:2" x14ac:dyDescent="0.15">
      <c r="A3119" t="s">
        <v>3092</v>
      </c>
      <c r="B3119" t="str">
        <f>HYPERLINK("せ/せい　せい疾奇兪　1758　灸ぜつ塩土伝　三宅意安_ページ_2.jpg")</f>
        <v>せ/せい　せい疾奇兪　1758　灸ぜつ塩土伝　三宅意安_ページ_2.jpg</v>
      </c>
    </row>
    <row r="3120" spans="1:2" x14ac:dyDescent="0.15">
      <c r="A3120" t="s">
        <v>3093</v>
      </c>
      <c r="B3120" t="str">
        <f>HYPERLINK("せ/せい　健忘　せいちゅう　1792　鍼法要集　源長起_ページ_1.jpg")</f>
        <v>せ/せい　健忘　せいちゅう　1792　鍼法要集　源長起_ページ_1.jpg</v>
      </c>
    </row>
    <row r="3121" spans="1:2" x14ac:dyDescent="0.15">
      <c r="A3121" t="s">
        <v>3094</v>
      </c>
      <c r="B3121" t="str">
        <f>HYPERLINK("せ/せい　健忘　せいちゅう　1792　鍼法要集　源長起_ページ_2.jpg")</f>
        <v>せ/せい　健忘　せいちゅう　1792　鍼法要集　源長起_ページ_2.jpg</v>
      </c>
    </row>
    <row r="3122" spans="1:2" x14ac:dyDescent="0.15">
      <c r="A3122" t="s">
        <v>3095</v>
      </c>
      <c r="B3122" t="str">
        <f>HYPERLINK("せ/せい　星翳（せいえい）　めぼし　角膜翳（かくまくえい）　1887（明治20）　鍼灸備要　青山道醇.jpg")</f>
        <v>せ/せい　星翳（せいえい）　めぼし　角膜翳（かくまくえい）　1887（明治20）　鍼灸備要　青山道醇.jpg</v>
      </c>
    </row>
    <row r="3123" spans="1:2" x14ac:dyDescent="0.15">
      <c r="A3123" t="s">
        <v>3096</v>
      </c>
      <c r="B3123" t="str">
        <f>HYPERLINK("せ/せい　清梯　1767　鍼灸則　菅沼周桂.jpg")</f>
        <v>せ/せい　清梯　1767　鍼灸則　菅沼周桂.jpg</v>
      </c>
    </row>
    <row r="3124" spans="1:2" x14ac:dyDescent="0.15">
      <c r="A3124" t="s">
        <v>3097</v>
      </c>
      <c r="B3124" t="str">
        <f>HYPERLINK("せ/せい　精神恍惚　1912年（大正01）　鍼灸手引草　久木田七郎.jpg")</f>
        <v>せ/せい　精神恍惚　1912年（大正01）　鍼灸手引草　久木田七郎.jpg</v>
      </c>
    </row>
    <row r="3125" spans="1:2" x14ac:dyDescent="0.15">
      <c r="A3125" t="s">
        <v>3098</v>
      </c>
      <c r="B3125" t="str">
        <f>HYPERLINK("せ/せい　精魅鬼神所淫　1226　備急灸法　宋・聞人耆年.jpg")</f>
        <v>せ/せい　精魅鬼神所淫　1226　備急灸法　宋・聞人耆年.jpg</v>
      </c>
    </row>
    <row r="3126" spans="1:2" x14ac:dyDescent="0.15">
      <c r="A3126" t="s">
        <v>3099</v>
      </c>
      <c r="B3126" t="str">
        <f>HYPERLINK("せ/せい　青盲雀目　とりめ　1765　鍼法弁惑　藤井秀孟.jpg")</f>
        <v>せ/せい　青盲雀目　とりめ　1765　鍼法弁惑　藤井秀孟.jpg</v>
      </c>
    </row>
    <row r="3127" spans="1:2" x14ac:dyDescent="0.15">
      <c r="A3127" t="s">
        <v>3100</v>
      </c>
      <c r="B3127" t="str">
        <f>HYPERLINK("せ/せい　青筋（せいきん）　1686　鍼灸要法指南　岩田利斎.jpg")</f>
        <v>せ/せい　青筋（せいきん）　1686　鍼灸要法指南　岩田利斎.jpg</v>
      </c>
    </row>
    <row r="3128" spans="1:2" x14ac:dyDescent="0.15">
      <c r="A3128" t="s">
        <v>3101</v>
      </c>
      <c r="B3128" t="str">
        <f>HYPERLINK("せ/せい　青肓　1220　鍼灸資生経　王執中.jpg")</f>
        <v>せ/せい　青肓　1220　鍼灸資生経　王執中.jpg</v>
      </c>
    </row>
    <row r="3129" spans="1:2" x14ac:dyDescent="0.15">
      <c r="A3129" t="s">
        <v>3102</v>
      </c>
      <c r="B3129" t="str">
        <f>HYPERLINK("せ/せき　積癖上衝　1765　鍼法弁惑　藤井秀孟.jpg")</f>
        <v>せ/せき　積癖上衝　1765　鍼法弁惑　藤井秀孟.jpg</v>
      </c>
    </row>
    <row r="3130" spans="1:2" x14ac:dyDescent="0.15">
      <c r="A3130" t="s">
        <v>3103</v>
      </c>
      <c r="B3130" t="str">
        <f>HYPERLINK("せ/せき　脊強反折　1315　鍼経摘英集　元・杜思敬「済生抜粋方」.jpg")</f>
        <v>せ/せき　脊強反折　1315　鍼経摘英集　元・杜思敬「済生抜粋方」.jpg</v>
      </c>
    </row>
    <row r="3131" spans="1:2" x14ac:dyDescent="0.15">
      <c r="A3131" t="s">
        <v>3104</v>
      </c>
      <c r="B3131" t="str">
        <f>HYPERLINK("せ/せき　脊痛　1767　鍼灸則　菅沼周桂.jpg")</f>
        <v>せ/せき　脊痛　1767　鍼灸則　菅沼周桂.jpg</v>
      </c>
    </row>
    <row r="3132" spans="1:2" x14ac:dyDescent="0.15">
      <c r="A3132" t="s">
        <v>3105</v>
      </c>
      <c r="B3132" t="str">
        <f>HYPERLINK("せ/せき　脊痛（余見腰脊風反張）　1220　鍼灸資生経　王執中.jpg")</f>
        <v>せ/せき　脊痛（余見腰脊風反張）　1220　鍼灸資生経　王執中.jpg</v>
      </c>
    </row>
    <row r="3133" spans="1:2" x14ac:dyDescent="0.15">
      <c r="A3133" t="s">
        <v>3106</v>
      </c>
      <c r="B3133" t="str">
        <f>HYPERLINK("せ/せき　脊筋骨痛之針　1613　古今集鍼法　長生庵了味か.jpg")</f>
        <v>せ/せき　脊筋骨痛之針　1613　古今集鍼法　長生庵了味か.jpg</v>
      </c>
    </row>
    <row r="3134" spans="1:2" x14ac:dyDescent="0.15">
      <c r="A3134" t="s">
        <v>3107</v>
      </c>
      <c r="B3134" t="str">
        <f>HYPERLINK("せ/せき　赤子甚泣　成書年未詳　灸穴集　著者未詳.jpg")</f>
        <v>せ/せき　赤子甚泣　成書年未詳　灸穴集　著者未詳.jpg</v>
      </c>
    </row>
    <row r="3135" spans="1:2" x14ac:dyDescent="0.15">
      <c r="A3135" t="s">
        <v>3108</v>
      </c>
      <c r="B3135" t="str">
        <f>HYPERLINK("せ/せき　赤白濁　小便の濁る病なり　1694　療治之大概集　杉山和一.jpg")</f>
        <v>せ/せき　赤白濁　小便の濁る病なり　1694　療治之大概集　杉山和一.jpg</v>
      </c>
    </row>
    <row r="3136" spans="1:2" x14ac:dyDescent="0.15">
      <c r="A3136" t="s">
        <v>3109</v>
      </c>
      <c r="B3136" t="str">
        <f>HYPERLINK("せ/せき　赤白痢疾　成書年未詳　灸穴集　著者未詳.jpg")</f>
        <v>せ/せき　赤白痢疾　成書年未詳　灸穴集　著者未詳.jpg</v>
      </c>
    </row>
    <row r="3137" spans="1:2" x14ac:dyDescent="0.15">
      <c r="A3137" t="s">
        <v>3110</v>
      </c>
      <c r="B3137" t="str">
        <f>HYPERLINK("せ/せき　赤脈如血　1765　鍼法弁惑　藤井秀孟.jpg")</f>
        <v>せ/せき　赤脈如血　1765　鍼法弁惑　藤井秀孟.jpg</v>
      </c>
    </row>
    <row r="3138" spans="1:2" x14ac:dyDescent="0.15">
      <c r="A3138" t="s">
        <v>3111</v>
      </c>
      <c r="B3138" t="str">
        <f>HYPERLINK("せ/せつ　截瘧　1758　灸ぜつ塩土伝　三宅意安.jpg")</f>
        <v>せ/せつ　截瘧　1758　灸ぜつ塩土伝　三宅意安.jpg</v>
      </c>
    </row>
    <row r="3139" spans="1:2" x14ac:dyDescent="0.15">
      <c r="A3139" t="s">
        <v>3112</v>
      </c>
      <c r="B3139" t="str">
        <f>HYPERLINK("せ/せつ　截瘧　おこり起きるに刺すべき妙術　1780　鍼灸極秘伝　木村太沖.jpg")</f>
        <v>せ/せつ　截瘧　おこり起きるに刺すべき妙術　1780　鍼灸極秘伝　木村太沖.jpg</v>
      </c>
    </row>
    <row r="3140" spans="1:2" x14ac:dyDescent="0.15">
      <c r="A3140" t="s">
        <v>3113</v>
      </c>
      <c r="B3140" t="str">
        <f>HYPERLINK("せ/せつ　折傷　1693　鍼灸要歌集　安井昌玄_ページ_1.jpg")</f>
        <v>せ/せつ　折傷　1693　鍼灸要歌集　安井昌玄_ページ_1.jpg</v>
      </c>
    </row>
    <row r="3141" spans="1:2" x14ac:dyDescent="0.15">
      <c r="A3141" t="s">
        <v>3114</v>
      </c>
      <c r="B3141" t="str">
        <f>HYPERLINK("せ/せつ　折傷　1693　鍼灸要歌集　安井昌玄_ページ_2.jpg")</f>
        <v>せ/せつ　折傷　1693　鍼灸要歌集　安井昌玄_ページ_2.jpg</v>
      </c>
    </row>
    <row r="3142" spans="1:2" x14ac:dyDescent="0.15">
      <c r="A3142" t="s">
        <v>3115</v>
      </c>
      <c r="B3142" t="str">
        <f>HYPERLINK("せ/せつ　折傷　跌撲　1767　鍼灸則　菅沼周桂.jpg")</f>
        <v>せ/せつ　折傷　跌撲　1767　鍼灸則　菅沼周桂.jpg</v>
      </c>
    </row>
    <row r="3143" spans="1:2" x14ac:dyDescent="0.15">
      <c r="A3143" t="s">
        <v>3116</v>
      </c>
      <c r="B3143" t="str">
        <f>HYPERLINK("せ/せつ　折傷　附　うちみ　落馬　1686　鍼灸要法指南　岩田利斎_ページ_1.jpg")</f>
        <v>せ/せつ　折傷　附　うちみ　落馬　1686　鍼灸要法指南　岩田利斎_ページ_1.jpg</v>
      </c>
    </row>
    <row r="3144" spans="1:2" x14ac:dyDescent="0.15">
      <c r="A3144" t="s">
        <v>3117</v>
      </c>
      <c r="B3144" t="str">
        <f>HYPERLINK("せ/せつ　折傷　附　うちみ　落馬　1686　鍼灸要法指南　岩田利斎_ページ_2.jpg")</f>
        <v>せ/せつ　折傷　附　うちみ　落馬　1686　鍼灸要法指南　岩田利斎_ページ_2.jpg</v>
      </c>
    </row>
    <row r="3145" spans="1:2" x14ac:dyDescent="0.15">
      <c r="A3145" t="s">
        <v>3118</v>
      </c>
      <c r="B3145" t="str">
        <f>HYPERLINK("せ/せつ　泄利　大便失禁　1813　名家灸選三編　平井庸信.jpg")</f>
        <v>せ/せつ　泄利　大便失禁　1813　名家灸選三編　平井庸信.jpg</v>
      </c>
    </row>
    <row r="3146" spans="1:2" x14ac:dyDescent="0.15">
      <c r="A3146" t="s">
        <v>3119</v>
      </c>
      <c r="B3146" t="str">
        <f>HYPERLINK("せ/せつ　泄瀉　1329　洩瀉　扁鵲神応鍼灸玉龍経　元・王国瑞.jpg")</f>
        <v>せ/せつ　泄瀉　1329　洩瀉　扁鵲神応鍼灸玉龍経　元・王国瑞.jpg</v>
      </c>
    </row>
    <row r="3147" spans="1:2" x14ac:dyDescent="0.15">
      <c r="A3147" t="s">
        <v>3120</v>
      </c>
      <c r="B3147" t="str">
        <f>HYPERLINK("せ/せつ　泄瀉　1563　陥下則灸之　鍼灸集要　曲直瀬道三.jpg")</f>
        <v>せ/せつ　泄瀉　1563　陥下則灸之　鍼灸集要　曲直瀬道三.jpg</v>
      </c>
    </row>
    <row r="3148" spans="1:2" x14ac:dyDescent="0.15">
      <c r="A3148" t="s">
        <v>3121</v>
      </c>
      <c r="B3148" t="str">
        <f>HYPERLINK("せ/せつ　泄瀉　1613　古今集鍼法　長生庵了味か.jpg")</f>
        <v>せ/せつ　泄瀉　1613　古今集鍼法　長生庵了味か.jpg</v>
      </c>
    </row>
    <row r="3149" spans="1:2" x14ac:dyDescent="0.15">
      <c r="A3149" t="s">
        <v>3122</v>
      </c>
      <c r="B3149" t="str">
        <f>HYPERLINK("せ/せつ　泄瀉　1669　鍼灸枢要　山本玄通_ページ_1.jpg")</f>
        <v>せ/せつ　泄瀉　1669　鍼灸枢要　山本玄通_ページ_1.jpg</v>
      </c>
    </row>
    <row r="3150" spans="1:2" x14ac:dyDescent="0.15">
      <c r="A3150" t="s">
        <v>3123</v>
      </c>
      <c r="B3150" t="str">
        <f>HYPERLINK("せ/せつ　泄瀉　1669　鍼灸枢要　山本玄通_ページ_2.jpg")</f>
        <v>せ/せつ　泄瀉　1669　鍼灸枢要　山本玄通_ページ_2.jpg</v>
      </c>
    </row>
    <row r="3151" spans="1:2" x14ac:dyDescent="0.15">
      <c r="A3151" t="s">
        <v>3124</v>
      </c>
      <c r="B3151" t="str">
        <f>HYPERLINK("せ/せつ　泄瀉　1669　鍼灸枢要　山本玄通_ページ_3.jpg")</f>
        <v>せ/せつ　泄瀉　1669　鍼灸枢要　山本玄通_ページ_3.jpg</v>
      </c>
    </row>
    <row r="3152" spans="1:2" x14ac:dyDescent="0.15">
      <c r="A3152" t="s">
        <v>3125</v>
      </c>
      <c r="B3152" t="str">
        <f>HYPERLINK("せ/せつ　泄瀉　1669　鍼灸枢要　山本玄通_ページ_4.jpg")</f>
        <v>せ/せつ　泄瀉　1669　鍼灸枢要　山本玄通_ページ_4.jpg</v>
      </c>
    </row>
    <row r="3153" spans="1:2" x14ac:dyDescent="0.15">
      <c r="A3153" t="s">
        <v>3126</v>
      </c>
      <c r="B3153" t="str">
        <f>HYPERLINK("せ/せつ　泄瀉　1679　鍼法奇貨　渡辺東伯_ページ_1.jpg")</f>
        <v>せ/せつ　泄瀉　1679　鍼法奇貨　渡辺東伯_ページ_1.jpg</v>
      </c>
    </row>
    <row r="3154" spans="1:2" x14ac:dyDescent="0.15">
      <c r="A3154" t="s">
        <v>3127</v>
      </c>
      <c r="B3154" t="str">
        <f>HYPERLINK("せ/せつ　泄瀉　1679　鍼法奇貨　渡辺東伯_ページ_2.jpg")</f>
        <v>せ/せつ　泄瀉　1679　鍼法奇貨　渡辺東伯_ページ_2.jpg</v>
      </c>
    </row>
    <row r="3155" spans="1:2" x14ac:dyDescent="0.15">
      <c r="A3155" t="s">
        <v>3128</v>
      </c>
      <c r="B3155" t="str">
        <f>HYPERLINK("せ/せつ　泄瀉　1679　鍼法奇貨　渡辺東伯_ページ_3.jpg")</f>
        <v>せ/せつ　泄瀉　1679　鍼法奇貨　渡辺東伯_ページ_3.jpg</v>
      </c>
    </row>
    <row r="3156" spans="1:2" x14ac:dyDescent="0.15">
      <c r="A3156" t="s">
        <v>3129</v>
      </c>
      <c r="B3156" t="str">
        <f>HYPERLINK("せ/せつ　泄瀉　1679　鍼法奇貨　渡辺東伯_ページ_4.jpg")</f>
        <v>せ/せつ　泄瀉　1679　鍼法奇貨　渡辺東伯_ページ_4.jpg</v>
      </c>
    </row>
    <row r="3157" spans="1:2" x14ac:dyDescent="0.15">
      <c r="A3157" t="s">
        <v>3130</v>
      </c>
      <c r="B3157" t="str">
        <f>HYPERLINK("せ/せつ　泄瀉　1680　鍼灸抜萃　著者未詳.jpg")</f>
        <v>せ/せつ　泄瀉　1680　鍼灸抜萃　著者未詳.jpg</v>
      </c>
    </row>
    <row r="3158" spans="1:2" x14ac:dyDescent="0.15">
      <c r="A3158" t="s">
        <v>3131</v>
      </c>
      <c r="B3158" t="str">
        <f>HYPERLINK("せ/せつ　泄瀉　1693　鍼灸要歌集　安井昌玄_ページ_1.jpg")</f>
        <v>せ/せつ　泄瀉　1693　鍼灸要歌集　安井昌玄_ページ_1.jpg</v>
      </c>
    </row>
    <row r="3159" spans="1:2" x14ac:dyDescent="0.15">
      <c r="A3159" t="s">
        <v>3132</v>
      </c>
      <c r="B3159" t="str">
        <f>HYPERLINK("せ/せつ　泄瀉　1693　鍼灸要歌集　安井昌玄_ページ_2.jpg")</f>
        <v>せ/せつ　泄瀉　1693　鍼灸要歌集　安井昌玄_ページ_2.jpg</v>
      </c>
    </row>
    <row r="3160" spans="1:2" x14ac:dyDescent="0.15">
      <c r="A3160" t="s">
        <v>3133</v>
      </c>
      <c r="B3160" t="str">
        <f>HYPERLINK("せ/せつ　泄瀉　1694　小児　さつさつと下る腹なり　療治之大概集　杉山和一.jpg")</f>
        <v>せ/せつ　泄瀉　1694　小児　さつさつと下る腹なり　療治之大概集　杉山和一.jpg</v>
      </c>
    </row>
    <row r="3161" spans="1:2" x14ac:dyDescent="0.15">
      <c r="A3161" t="s">
        <v>3134</v>
      </c>
      <c r="B3161" t="str">
        <f>HYPERLINK("せ/せつ　泄瀉　1694　選鍼三要集　杉山和一.jpg")</f>
        <v>せ/せつ　泄瀉　1694　選鍼三要集　杉山和一.jpg</v>
      </c>
    </row>
    <row r="3162" spans="1:2" x14ac:dyDescent="0.15">
      <c r="A3162" t="s">
        <v>3135</v>
      </c>
      <c r="B3162" t="str">
        <f>HYPERLINK("せ/せつ　泄瀉　1694　鍼灸そかい集　高津敬節_ページ_1.jpg")</f>
        <v>せ/せつ　泄瀉　1694　鍼灸そかい集　高津敬節_ページ_1.jpg</v>
      </c>
    </row>
    <row r="3163" spans="1:2" x14ac:dyDescent="0.15">
      <c r="A3163" t="s">
        <v>3136</v>
      </c>
      <c r="B3163" t="str">
        <f>HYPERLINK("せ/せつ　泄瀉　1694　鍼灸そかい集　高津敬節_ページ_2.jpg")</f>
        <v>せ/せつ　泄瀉　1694　鍼灸そかい集　高津敬節_ページ_2.jpg</v>
      </c>
    </row>
    <row r="3164" spans="1:2" x14ac:dyDescent="0.15">
      <c r="A3164" t="s">
        <v>3137</v>
      </c>
      <c r="B3164" t="str">
        <f>HYPERLINK("せ/せつ　泄瀉　1696　広益鍼灸抜萃　著者未詳_ページ_1.jpg")</f>
        <v>せ/せつ　泄瀉　1696　広益鍼灸抜萃　著者未詳_ページ_1.jpg</v>
      </c>
    </row>
    <row r="3165" spans="1:2" x14ac:dyDescent="0.15">
      <c r="A3165" t="s">
        <v>3138</v>
      </c>
      <c r="B3165" t="str">
        <f>HYPERLINK("せ/せつ　泄瀉　1696　広益鍼灸抜萃　著者未詳_ページ_2.jpg")</f>
        <v>せ/せつ　泄瀉　1696　広益鍼灸抜萃　著者未詳_ページ_2.jpg</v>
      </c>
    </row>
    <row r="3166" spans="1:2" x14ac:dyDescent="0.15">
      <c r="A3166" t="s">
        <v>3139</v>
      </c>
      <c r="B3166" t="str">
        <f>HYPERLINK("せ/せつ　泄瀉　1698　鍼灸抜粋大成　岡本一抱_ページ_1.jpg")</f>
        <v>せ/せつ　泄瀉　1698　鍼灸抜粋大成　岡本一抱_ページ_1.jpg</v>
      </c>
    </row>
    <row r="3167" spans="1:2" x14ac:dyDescent="0.15">
      <c r="A3167" t="s">
        <v>3140</v>
      </c>
      <c r="B3167" t="str">
        <f>HYPERLINK("せ/せつ　泄瀉　1698　鍼灸抜粋大成　岡本一抱_ページ_2.jpg")</f>
        <v>せ/せつ　泄瀉　1698　鍼灸抜粋大成　岡本一抱_ページ_2.jpg</v>
      </c>
    </row>
    <row r="3168" spans="1:2" x14ac:dyDescent="0.15">
      <c r="A3168" t="s">
        <v>3141</v>
      </c>
      <c r="B3168" t="str">
        <f>HYPERLINK("せ/せつ　泄瀉　1718　くだりはら　鍼灸重宝記　本郷正豊.jpg")</f>
        <v>せ/せつ　泄瀉　1718　くだりはら　鍼灸重宝記　本郷正豊.jpg</v>
      </c>
    </row>
    <row r="3169" spans="1:2" x14ac:dyDescent="0.15">
      <c r="A3169" t="s">
        <v>3142</v>
      </c>
      <c r="B3169" t="str">
        <f>HYPERLINK("せ/せつ　泄瀉　1767　鍼灸則　菅沼周桂.jpg")</f>
        <v>せ/せつ　泄瀉　1767　鍼灸則　菅沼周桂.jpg</v>
      </c>
    </row>
    <row r="3170" spans="1:2" x14ac:dyDescent="0.15">
      <c r="A3170" t="s">
        <v>3143</v>
      </c>
      <c r="B3170" t="str">
        <f>HYPERLINK("せ/せつ　泄瀉　1773　鍼灸手引草　大簡室主人_ページ_1.jpg")</f>
        <v>せ/せつ　泄瀉　1773　鍼灸手引草　大簡室主人_ページ_1.jpg</v>
      </c>
    </row>
    <row r="3171" spans="1:2" x14ac:dyDescent="0.15">
      <c r="A3171" t="s">
        <v>3144</v>
      </c>
      <c r="B3171" t="str">
        <f>HYPERLINK("せ/せつ　泄瀉　1773　鍼灸手引草　大簡室主人_ページ_2.jpg")</f>
        <v>せ/せつ　泄瀉　1773　鍼灸手引草　大簡室主人_ページ_2.jpg</v>
      </c>
    </row>
    <row r="3172" spans="1:2" x14ac:dyDescent="0.15">
      <c r="A3172" t="s">
        <v>3145</v>
      </c>
      <c r="B3172" t="str">
        <f>HYPERLINK("せ/せつ　泄瀉　1780　鍼灸極秘伝　木村太沖.jpg")</f>
        <v>せ/せつ　泄瀉　1780　鍼灸極秘伝　木村太沖.jpg</v>
      </c>
    </row>
    <row r="3173" spans="1:2" x14ac:dyDescent="0.15">
      <c r="A3173" t="s">
        <v>3146</v>
      </c>
      <c r="B3173" t="str">
        <f>HYPERLINK("せ/せつ　泄瀉　1785　鍼書　本城義軒.jpg")</f>
        <v>せ/せつ　泄瀉　1785　鍼書　本城義軒.jpg</v>
      </c>
    </row>
    <row r="3174" spans="1:2" x14ac:dyDescent="0.15">
      <c r="A3174" t="s">
        <v>3147</v>
      </c>
      <c r="B3174" t="str">
        <f>HYPERLINK("せ/せつ　泄瀉　1792　鍼法要集　源長起_ページ_1.jpg")</f>
        <v>せ/せつ　泄瀉　1792　鍼法要集　源長起_ページ_1.jpg</v>
      </c>
    </row>
    <row r="3175" spans="1:2" x14ac:dyDescent="0.15">
      <c r="A3175" t="s">
        <v>3148</v>
      </c>
      <c r="B3175" t="str">
        <f>HYPERLINK("せ/せつ　泄瀉　1792　鍼法要集　源長起_ページ_2.jpg")</f>
        <v>せ/せつ　泄瀉　1792　鍼法要集　源長起_ページ_2.jpg</v>
      </c>
    </row>
    <row r="3176" spans="1:2" x14ac:dyDescent="0.15">
      <c r="A3176" t="s">
        <v>3149</v>
      </c>
      <c r="B3176" t="str">
        <f>HYPERLINK("せ/せつ　泄瀉　1794　杉山流鍼術　島浦和田一_ページ_1.jpg")</f>
        <v>せ/せつ　泄瀉　1794　杉山流鍼術　島浦和田一_ページ_1.jpg</v>
      </c>
    </row>
    <row r="3177" spans="1:2" x14ac:dyDescent="0.15">
      <c r="A3177" t="s">
        <v>3150</v>
      </c>
      <c r="B3177" t="str">
        <f>HYPERLINK("せ/せつ　泄瀉　1794　杉山流鍼術　島浦和田一_ページ_2.jpg")</f>
        <v>せ/せつ　泄瀉　1794　杉山流鍼術　島浦和田一_ページ_2.jpg</v>
      </c>
    </row>
    <row r="3178" spans="1:2" x14ac:dyDescent="0.15">
      <c r="A3178" t="s">
        <v>3151</v>
      </c>
      <c r="B3178" t="str">
        <f>HYPERLINK("せ/せつ　泄瀉　1800　鍼灸備要　小坂元祐_ページ_1.jpg")</f>
        <v>せ/せつ　泄瀉　1800　鍼灸備要　小坂元祐_ページ_1.jpg</v>
      </c>
    </row>
    <row r="3179" spans="1:2" x14ac:dyDescent="0.15">
      <c r="A3179" t="s">
        <v>3152</v>
      </c>
      <c r="B3179" t="str">
        <f>HYPERLINK("せ/せつ　泄瀉　1800　鍼灸備要　小坂元祐_ページ_2.jpg")</f>
        <v>せ/せつ　泄瀉　1800　鍼灸備要　小坂元祐_ページ_2.jpg</v>
      </c>
    </row>
    <row r="3180" spans="1:2" x14ac:dyDescent="0.15">
      <c r="A3180" t="s">
        <v>3153</v>
      </c>
      <c r="B3180" t="str">
        <f>HYPERLINK("せ/せつ　泄瀉　1800　鍼灸備要　小坂元祐_ページ_3.jpg")</f>
        <v>せ/せつ　泄瀉　1800　鍼灸備要　小坂元祐_ページ_3.jpg</v>
      </c>
    </row>
    <row r="3181" spans="1:2" x14ac:dyDescent="0.15">
      <c r="A3181" t="s">
        <v>3154</v>
      </c>
      <c r="B3181" t="str">
        <f>HYPERLINK("せ/せつ　泄瀉　1800　鍼灸備要　小坂元祐_ページ_4.jpg")</f>
        <v>せ/せつ　泄瀉　1800　鍼灸備要　小坂元祐_ページ_4.jpg</v>
      </c>
    </row>
    <row r="3182" spans="1:2" x14ac:dyDescent="0.15">
      <c r="A3182" t="s">
        <v>3155</v>
      </c>
      <c r="B3182" t="str">
        <f>HYPERLINK("せ/せつ　泄瀉　成書年未詳　灸穴集　著者未詳_ページ_1.jpg")</f>
        <v>せ/せつ　泄瀉　成書年未詳　灸穴集　著者未詳_ページ_1.jpg</v>
      </c>
    </row>
    <row r="3183" spans="1:2" x14ac:dyDescent="0.15">
      <c r="A3183" t="s">
        <v>3156</v>
      </c>
      <c r="B3183" t="str">
        <f>HYPERLINK("せ/せつ　泄瀉　成書年未詳　灸穴集　著者未詳_ページ_2.jpg")</f>
        <v>せ/せつ　泄瀉　成書年未詳　灸穴集　著者未詳_ページ_2.jpg</v>
      </c>
    </row>
    <row r="3184" spans="1:2" x14ac:dyDescent="0.15">
      <c r="A3184" t="s">
        <v>3157</v>
      </c>
      <c r="B3184" t="str">
        <f>HYPERLINK("せ/せつ　泄瀉　成書年未詳　灸穴集　著者未詳_ページ_3.jpg")</f>
        <v>せ/せつ　泄瀉　成書年未詳　灸穴集　著者未詳_ページ_3.jpg</v>
      </c>
    </row>
    <row r="3185" spans="1:2" x14ac:dyDescent="0.15">
      <c r="A3185" t="s">
        <v>3158</v>
      </c>
      <c r="B3185" t="str">
        <f>HYPERLINK("せ/せつ　泄瀉　成書年未詳　灸穴集　著者未詳_ページ_4.jpg")</f>
        <v>せ/せつ　泄瀉　成書年未詳　灸穴集　著者未詳_ページ_4.jpg</v>
      </c>
    </row>
    <row r="3186" spans="1:2" x14ac:dyDescent="0.15">
      <c r="A3186" t="s">
        <v>3159</v>
      </c>
      <c r="B3186" t="str">
        <f>HYPERLINK("せ/せつ　泄瀉　成書年未詳　経穴図解　著者未詳_ページ_1.jpg")</f>
        <v>せ/せつ　泄瀉　成書年未詳　経穴図解　著者未詳_ページ_1.jpg</v>
      </c>
    </row>
    <row r="3187" spans="1:2" x14ac:dyDescent="0.15">
      <c r="A3187" t="s">
        <v>3160</v>
      </c>
      <c r="B3187" t="str">
        <f>HYPERLINK("せ/せつ　泄瀉　成書年未詳　経穴図解　著者未詳_ページ_2.jpg")</f>
        <v>せ/せつ　泄瀉　成書年未詳　経穴図解　著者未詳_ページ_2.jpg</v>
      </c>
    </row>
    <row r="3188" spans="1:2" x14ac:dyDescent="0.15">
      <c r="A3188" t="s">
        <v>3161</v>
      </c>
      <c r="B3188" t="str">
        <f>HYPERLINK("せ/せつ　泄瀉　腹の下る事　1694　療治之大概集　杉山和一.jpg")</f>
        <v>せ/せつ　泄瀉　腹の下る事　1694　療治之大概集　杉山和一.jpg</v>
      </c>
    </row>
    <row r="3189" spans="1:2" x14ac:dyDescent="0.15">
      <c r="A3189" t="s">
        <v>3162</v>
      </c>
      <c r="B3189" t="str">
        <f>HYPERLINK("せ/せつ　泄瀉（せつしや）　くだりはら　腸加多児（カタル）　1887（明治20）　鍼灸備要　青山道醇_ページ_1.jpg")</f>
        <v>せ/せつ　泄瀉（せつしや）　くだりはら　腸加多児（カタル）　1887（明治20）　鍼灸備要　青山道醇_ページ_1.jpg</v>
      </c>
    </row>
    <row r="3190" spans="1:2" x14ac:dyDescent="0.15">
      <c r="A3190" t="s">
        <v>3163</v>
      </c>
      <c r="B3190" t="str">
        <f>HYPERLINK("せ/せつ　泄瀉（せつしや）　くだりはら　腸加多児（カタル）　1887（明治20）　鍼灸備要　青山道醇_ページ_2.jpg")</f>
        <v>せ/せつ　泄瀉（せつしや）　くだりはら　腸加多児（カタル）　1887（明治20）　鍼灸備要　青山道醇_ページ_2.jpg</v>
      </c>
    </row>
    <row r="3191" spans="1:2" x14ac:dyDescent="0.15">
      <c r="A3191" t="s">
        <v>3164</v>
      </c>
      <c r="B3191" t="str">
        <f>HYPERLINK("せ/せつ　泄瀉（余見吐瀉）　1220　鍼灸資生経　王執中.jpg")</f>
        <v>せ/せつ　泄瀉（余見吐瀉）　1220　鍼灸資生経　王執中.jpg</v>
      </c>
    </row>
    <row r="3192" spans="1:2" x14ac:dyDescent="0.15">
      <c r="A3192" t="s">
        <v>3165</v>
      </c>
      <c r="B3192" t="str">
        <f>HYPERLINK("せ/せつ　泄痢　0650　千金方　孫思ばく_ページ_1.jpg")</f>
        <v>せ/せつ　泄痢　0650　千金方　孫思ばく_ページ_1.jpg</v>
      </c>
    </row>
    <row r="3193" spans="1:2" x14ac:dyDescent="0.15">
      <c r="A3193" t="s">
        <v>3166</v>
      </c>
      <c r="B3193" t="str">
        <f>HYPERLINK("せ/せつ　泄痢　0650　千金方　孫思ばく_ページ_2.jpg")</f>
        <v>せ/せつ　泄痢　0650　千金方　孫思ばく_ページ_2.jpg</v>
      </c>
    </row>
    <row r="3194" spans="1:2" x14ac:dyDescent="0.15">
      <c r="A3194" t="s">
        <v>3167</v>
      </c>
      <c r="B3194" t="str">
        <f>HYPERLINK("せ/せつ　泄痢　1686　鍼灸要法指南　岩田利斎_ページ_1.jpg")</f>
        <v>せ/せつ　泄痢　1686　鍼灸要法指南　岩田利斎_ページ_1.jpg</v>
      </c>
    </row>
    <row r="3195" spans="1:2" x14ac:dyDescent="0.15">
      <c r="A3195" t="s">
        <v>3168</v>
      </c>
      <c r="B3195" t="str">
        <f>HYPERLINK("せ/せつ　泄痢　1686　鍼灸要法指南　岩田利斎_ページ_2.jpg")</f>
        <v>せ/せつ　泄痢　1686　鍼灸要法指南　岩田利斎_ページ_2.jpg</v>
      </c>
    </row>
    <row r="3196" spans="1:2" x14ac:dyDescent="0.15">
      <c r="A3196" t="s">
        <v>3169</v>
      </c>
      <c r="B3196" t="str">
        <f>HYPERLINK("せ/せつ　諸々の泄瀉　1607　扁鵲新流鍼書　越齋寿閑.jpg")</f>
        <v>せ/せつ　諸々の泄瀉　1607　扁鵲新流鍼書　越齋寿閑.jpg</v>
      </c>
    </row>
    <row r="3197" spans="1:2" x14ac:dyDescent="0.15">
      <c r="A3197" t="s">
        <v>3170</v>
      </c>
      <c r="B3197" t="str">
        <f>HYPERLINK("せ/せん　戦慄　1537　鍼灸聚英　明・高武_ページ_1.jpg")</f>
        <v>せ/せん　戦慄　1537　鍼灸聚英　明・高武_ページ_1.jpg</v>
      </c>
    </row>
    <row r="3198" spans="1:2" x14ac:dyDescent="0.15">
      <c r="A3198" t="s">
        <v>3171</v>
      </c>
      <c r="B3198" t="str">
        <f>HYPERLINK("せ/せん　戦慄　1537　鍼灸聚英　明・高武_ページ_2.jpg")</f>
        <v>せ/せん　戦慄　1537　鍼灸聚英　明・高武_ページ_2.jpg</v>
      </c>
    </row>
    <row r="3199" spans="1:2" x14ac:dyDescent="0.15">
      <c r="A3199" t="s">
        <v>3172</v>
      </c>
      <c r="B3199" t="str">
        <f>HYPERLINK("せ/せん　疝　1537　鍼灸聚英　明・高武.jpg")</f>
        <v>せ/せん　疝　1537　鍼灸聚英　明・高武.jpg</v>
      </c>
    </row>
    <row r="3200" spans="1:2" x14ac:dyDescent="0.15">
      <c r="A3200" t="s">
        <v>3173</v>
      </c>
      <c r="B3200" t="str">
        <f>HYPERLINK("せ/せん　疝　1669　鍼灸枢要　山本玄通_ページ_01.jpg")</f>
        <v>せ/せん　疝　1669　鍼灸枢要　山本玄通_ページ_01.jpg</v>
      </c>
    </row>
    <row r="3201" spans="1:2" x14ac:dyDescent="0.15">
      <c r="A3201" t="s">
        <v>3174</v>
      </c>
      <c r="B3201" t="str">
        <f>HYPERLINK("せ/せん　疝　1669　鍼灸枢要　山本玄通_ページ_02.jpg")</f>
        <v>せ/せん　疝　1669　鍼灸枢要　山本玄通_ページ_02.jpg</v>
      </c>
    </row>
    <row r="3202" spans="1:2" x14ac:dyDescent="0.15">
      <c r="A3202" t="s">
        <v>3175</v>
      </c>
      <c r="B3202" t="str">
        <f>HYPERLINK("せ/せん　疝　1669　鍼灸枢要　山本玄通_ページ_03.jpg")</f>
        <v>せ/せん　疝　1669　鍼灸枢要　山本玄通_ページ_03.jpg</v>
      </c>
    </row>
    <row r="3203" spans="1:2" x14ac:dyDescent="0.15">
      <c r="A3203" t="s">
        <v>3176</v>
      </c>
      <c r="B3203" t="str">
        <f>HYPERLINK("せ/せん　疝　1669　鍼灸枢要　山本玄通_ページ_04.jpg")</f>
        <v>せ/せん　疝　1669　鍼灸枢要　山本玄通_ページ_04.jpg</v>
      </c>
    </row>
    <row r="3204" spans="1:2" x14ac:dyDescent="0.15">
      <c r="A3204" t="s">
        <v>3177</v>
      </c>
      <c r="B3204" t="str">
        <f>HYPERLINK("せ/せん　疝　1669　鍼灸枢要　山本玄通_ページ_05.jpg")</f>
        <v>せ/せん　疝　1669　鍼灸枢要　山本玄通_ページ_05.jpg</v>
      </c>
    </row>
    <row r="3205" spans="1:2" x14ac:dyDescent="0.15">
      <c r="A3205" t="s">
        <v>3178</v>
      </c>
      <c r="B3205" t="str">
        <f>HYPERLINK("せ/せん　疝　1669　鍼灸枢要　山本玄通_ページ_06.jpg")</f>
        <v>せ/せん　疝　1669　鍼灸枢要　山本玄通_ページ_06.jpg</v>
      </c>
    </row>
    <row r="3206" spans="1:2" x14ac:dyDescent="0.15">
      <c r="A3206" t="s">
        <v>3179</v>
      </c>
      <c r="B3206" t="str">
        <f>HYPERLINK("せ/せん　疝　1669　鍼灸枢要　山本玄通_ページ_07.jpg")</f>
        <v>せ/せん　疝　1669　鍼灸枢要　山本玄通_ページ_07.jpg</v>
      </c>
    </row>
    <row r="3207" spans="1:2" x14ac:dyDescent="0.15">
      <c r="A3207" t="s">
        <v>3180</v>
      </c>
      <c r="B3207" t="str">
        <f>HYPERLINK("せ/せん　疝　1669　鍼灸枢要　山本玄通_ページ_08.jpg")</f>
        <v>せ/せん　疝　1669　鍼灸枢要　山本玄通_ページ_08.jpg</v>
      </c>
    </row>
    <row r="3208" spans="1:2" x14ac:dyDescent="0.15">
      <c r="A3208" t="s">
        <v>3181</v>
      </c>
      <c r="B3208" t="str">
        <f>HYPERLINK("せ/せん　疝　1669　鍼灸枢要　山本玄通_ページ_09.jpg")</f>
        <v>せ/せん　疝　1669　鍼灸枢要　山本玄通_ページ_09.jpg</v>
      </c>
    </row>
    <row r="3209" spans="1:2" x14ac:dyDescent="0.15">
      <c r="A3209" t="s">
        <v>3182</v>
      </c>
      <c r="B3209" t="str">
        <f>HYPERLINK("せ/せん　疝　1669　鍼灸枢要　山本玄通_ページ_10.jpg")</f>
        <v>せ/せん　疝　1669　鍼灸枢要　山本玄通_ページ_10.jpg</v>
      </c>
    </row>
    <row r="3210" spans="1:2" x14ac:dyDescent="0.15">
      <c r="A3210" t="s">
        <v>3183</v>
      </c>
      <c r="B3210" t="str">
        <f>HYPERLINK("せ/せん　疝　1669　鍼灸枢要　山本玄通_ページ_11.jpg")</f>
        <v>せ/せん　疝　1669　鍼灸枢要　山本玄通_ページ_11.jpg</v>
      </c>
    </row>
    <row r="3211" spans="1:2" x14ac:dyDescent="0.15">
      <c r="A3211" t="s">
        <v>3184</v>
      </c>
      <c r="B3211" t="str">
        <f>HYPERLINK("せ/せん　疝　1669　鍼灸枢要　山本玄通_ページ_12.jpg")</f>
        <v>せ/せん　疝　1669　鍼灸枢要　山本玄通_ページ_12.jpg</v>
      </c>
    </row>
    <row r="3212" spans="1:2" x14ac:dyDescent="0.15">
      <c r="A3212" t="s">
        <v>3185</v>
      </c>
      <c r="B3212" t="str">
        <f>HYPERLINK("せ/せん　疝　1800　岡田流鍼術書　岡田見龍_ページ_1.jpg")</f>
        <v>せ/せん　疝　1800　岡田流鍼術書　岡田見龍_ページ_1.jpg</v>
      </c>
    </row>
    <row r="3213" spans="1:2" x14ac:dyDescent="0.15">
      <c r="A3213" t="s">
        <v>3186</v>
      </c>
      <c r="B3213" t="str">
        <f>HYPERLINK("せ/せん　疝　1800　岡田流鍼術書　岡田見龍_ページ_2.jpg")</f>
        <v>せ/せん　疝　1800　岡田流鍼術書　岡田見龍_ページ_2.jpg</v>
      </c>
    </row>
    <row r="3214" spans="1:2" x14ac:dyDescent="0.15">
      <c r="A3214" t="s">
        <v>3187</v>
      </c>
      <c r="B3214" t="str">
        <f>HYPERLINK("せ/せん　疝　1800　鍼灸備要　小坂元祐_ページ_1.jpg")</f>
        <v>せ/せん　疝　1800　鍼灸備要　小坂元祐_ページ_1.jpg</v>
      </c>
    </row>
    <row r="3215" spans="1:2" x14ac:dyDescent="0.15">
      <c r="A3215" t="s">
        <v>3188</v>
      </c>
      <c r="B3215" t="str">
        <f>HYPERLINK("せ/せん　疝　1800　鍼灸備要　小坂元祐_ページ_2.jpg")</f>
        <v>せ/せん　疝　1800　鍼灸備要　小坂元祐_ページ_2.jpg</v>
      </c>
    </row>
    <row r="3216" spans="1:2" x14ac:dyDescent="0.15">
      <c r="A3216" t="s">
        <v>3189</v>
      </c>
      <c r="B3216" t="str">
        <f>HYPERLINK("せ/せん　疝　1800　鍼灸備要　小坂元祐_ページ_3.jpg")</f>
        <v>せ/せん　疝　1800　鍼灸備要　小坂元祐_ページ_3.jpg</v>
      </c>
    </row>
    <row r="3217" spans="1:2" x14ac:dyDescent="0.15">
      <c r="A3217" t="s">
        <v>3190</v>
      </c>
      <c r="B3217" t="str">
        <f>HYPERLINK("せ/せん　疝　1800　鍼灸備要　小坂元祐_ページ_4.jpg")</f>
        <v>せ/せん　疝　1800　鍼灸備要　小坂元祐_ページ_4.jpg</v>
      </c>
    </row>
    <row r="3218" spans="1:2" x14ac:dyDescent="0.15">
      <c r="A3218" t="s">
        <v>3191</v>
      </c>
      <c r="B3218" t="str">
        <f>HYPERLINK("せ/せん　疝　1800　鍼灸備要　小坂元祐_ページ_5.jpg")</f>
        <v>せ/せん　疝　1800　鍼灸備要　小坂元祐_ページ_5.jpg</v>
      </c>
    </row>
    <row r="3219" spans="1:2" x14ac:dyDescent="0.15">
      <c r="A3219" t="s">
        <v>3192</v>
      </c>
      <c r="B3219" t="str">
        <f>HYPERLINK("せ/せん　疝　1800　鍼灸備要　小坂元祐_ページ_6.jpg")</f>
        <v>せ/せん　疝　1800　鍼灸備要　小坂元祐_ページ_6.jpg</v>
      </c>
    </row>
    <row r="3220" spans="1:2" x14ac:dyDescent="0.15">
      <c r="A3220" t="s">
        <v>3193</v>
      </c>
      <c r="B3220" t="str">
        <f>HYPERLINK("せ/せん　疝　1800　鍼灸備要　小坂元祐_ページ_7.jpg")</f>
        <v>せ/せん　疝　1800　鍼灸備要　小坂元祐_ページ_7.jpg</v>
      </c>
    </row>
    <row r="3221" spans="1:2" x14ac:dyDescent="0.15">
      <c r="A3221" t="s">
        <v>3194</v>
      </c>
      <c r="B3221" t="str">
        <f>HYPERLINK("せ/せん　疝か　1220　鍼灸資生経　王執中.jpg")</f>
        <v>せ/せん　疝か　1220　鍼灸資生経　王執中.jpg</v>
      </c>
    </row>
    <row r="3222" spans="1:2" x14ac:dyDescent="0.15">
      <c r="A3222" t="s">
        <v>3195</v>
      </c>
      <c r="B3222" t="str">
        <f>HYPERLINK("せ/せん　疝か　1912年（大正01）　鍼灸手引草　久木田七郎.jpg")</f>
        <v>せ/せん　疝か　1912年（大正01）　鍼灸手引草　久木田七郎.jpg</v>
      </c>
    </row>
    <row r="3223" spans="1:2" x14ac:dyDescent="0.15">
      <c r="A3223" t="s">
        <v>3196</v>
      </c>
      <c r="B3223" t="str">
        <f>HYPERLINK("せ/せん　疝気-2　1758　灸ぜつ塩土伝　三宅意安.jpg")</f>
        <v>せ/せん　疝気-2　1758　灸ぜつ塩土伝　三宅意安.jpg</v>
      </c>
    </row>
    <row r="3224" spans="1:2" x14ac:dyDescent="0.15">
      <c r="A3224" t="s">
        <v>3197</v>
      </c>
      <c r="B3224" t="str">
        <f>HYPERLINK("せ/せん　疝気　1329　扁鵲神応鍼灸玉龍経　元・王国瑞_ページ_1.jpg")</f>
        <v>せ/せん　疝気　1329　扁鵲神応鍼灸玉龍経　元・王国瑞_ページ_1.jpg</v>
      </c>
    </row>
    <row r="3225" spans="1:2" x14ac:dyDescent="0.15">
      <c r="A3225" t="s">
        <v>3198</v>
      </c>
      <c r="B3225" t="str">
        <f>HYPERLINK("せ/せん　疝気　1329　扁鵲神応鍼灸玉龍経　元・王国瑞_ページ_2.jpg")</f>
        <v>せ/せん　疝気　1329　扁鵲神応鍼灸玉龍経　元・王国瑞_ページ_2.jpg</v>
      </c>
    </row>
    <row r="3226" spans="1:2" x14ac:dyDescent="0.15">
      <c r="A3226" t="s">
        <v>3199</v>
      </c>
      <c r="B3226" t="str">
        <f>HYPERLINK("せ/せん　疝気　1563　鍼灸集要　曲直瀬道三.jpg")</f>
        <v>せ/せん　疝気　1563　鍼灸集要　曲直瀬道三.jpg</v>
      </c>
    </row>
    <row r="3227" spans="1:2" x14ac:dyDescent="0.15">
      <c r="A3227" t="s">
        <v>3200</v>
      </c>
      <c r="B3227" t="str">
        <f>HYPERLINK("せ/せん　疝気　1574　兪穴参伍的法　秦宗巴.jpg")</f>
        <v>せ/せん　疝気　1574　兪穴参伍的法　秦宗巴.jpg</v>
      </c>
    </row>
    <row r="3228" spans="1:2" x14ac:dyDescent="0.15">
      <c r="A3228" t="s">
        <v>3201</v>
      </c>
      <c r="B3228" t="str">
        <f>HYPERLINK("せ/せん　疝気　1624　類経図翼　明・張介賓.jpg")</f>
        <v>せ/せん　疝気　1624　類経図翼　明・張介賓.jpg</v>
      </c>
    </row>
    <row r="3229" spans="1:2" x14ac:dyDescent="0.15">
      <c r="A3229" t="s">
        <v>3202</v>
      </c>
      <c r="B3229" t="str">
        <f>HYPERLINK("せ/せん　疝気　1624　類経図翼　明・張介賓_ページ_1.jpg")</f>
        <v>せ/せん　疝気　1624　類経図翼　明・張介賓_ページ_1.jpg</v>
      </c>
    </row>
    <row r="3230" spans="1:2" x14ac:dyDescent="0.15">
      <c r="A3230" t="s">
        <v>3203</v>
      </c>
      <c r="B3230" t="str">
        <f>HYPERLINK("せ/せん　疝気　1624　類経図翼　明・張介賓_ページ_2.jpg")</f>
        <v>せ/せん　疝気　1624　類経図翼　明・張介賓_ページ_2.jpg</v>
      </c>
    </row>
    <row r="3231" spans="1:2" x14ac:dyDescent="0.15">
      <c r="A3231" t="s">
        <v>3204</v>
      </c>
      <c r="B3231" t="str">
        <f>HYPERLINK("せ/せん　疝気　1680　鍼灸抜萃　著者未詳.jpg")</f>
        <v>せ/せん　疝気　1680　鍼灸抜萃　著者未詳.jpg</v>
      </c>
    </row>
    <row r="3232" spans="1:2" x14ac:dyDescent="0.15">
      <c r="A3232" t="s">
        <v>3205</v>
      </c>
      <c r="B3232" t="str">
        <f>HYPERLINK("せ/せん　疝気　1686　鍼灸要法指南　岩田利斎_ページ_1.jpg")</f>
        <v>せ/せん　疝気　1686　鍼灸要法指南　岩田利斎_ページ_1.jpg</v>
      </c>
    </row>
    <row r="3233" spans="1:2" x14ac:dyDescent="0.15">
      <c r="A3233" t="s">
        <v>3206</v>
      </c>
      <c r="B3233" t="str">
        <f>HYPERLINK("せ/せん　疝気　1686　鍼灸要法指南　岩田利斎_ページ_2.jpg")</f>
        <v>せ/せん　疝気　1686　鍼灸要法指南　岩田利斎_ページ_2.jpg</v>
      </c>
    </row>
    <row r="3234" spans="1:2" x14ac:dyDescent="0.15">
      <c r="A3234" t="s">
        <v>3207</v>
      </c>
      <c r="B3234" t="str">
        <f>HYPERLINK("せ/せん　疝気　1693　鍼灸要歌集　安井昌玄_ページ_1.jpg")</f>
        <v>せ/せん　疝気　1693　鍼灸要歌集　安井昌玄_ページ_1.jpg</v>
      </c>
    </row>
    <row r="3235" spans="1:2" x14ac:dyDescent="0.15">
      <c r="A3235" t="s">
        <v>3208</v>
      </c>
      <c r="B3235" t="str">
        <f>HYPERLINK("せ/せん　疝気　1693　鍼灸要歌集　安井昌玄_ページ_2.jpg")</f>
        <v>せ/せん　疝気　1693　鍼灸要歌集　安井昌玄_ページ_2.jpg</v>
      </c>
    </row>
    <row r="3236" spans="1:2" x14ac:dyDescent="0.15">
      <c r="A3236" t="s">
        <v>3209</v>
      </c>
      <c r="B3236" t="str">
        <f>HYPERLINK("せ/せん　疝気　1693　鍼灸要歌集　安井昌玄_ページ_3.jpg")</f>
        <v>せ/せん　疝気　1693　鍼灸要歌集　安井昌玄_ページ_3.jpg</v>
      </c>
    </row>
    <row r="3237" spans="1:2" x14ac:dyDescent="0.15">
      <c r="A3237" t="s">
        <v>3210</v>
      </c>
      <c r="B3237" t="str">
        <f>HYPERLINK("せ/せん　疝気　1694　選鍼三要集　杉山和一.jpg")</f>
        <v>せ/せん　疝気　1694　選鍼三要集　杉山和一.jpg</v>
      </c>
    </row>
    <row r="3238" spans="1:2" x14ac:dyDescent="0.15">
      <c r="A3238" t="s">
        <v>3211</v>
      </c>
      <c r="B3238" t="str">
        <f>HYPERLINK("せ/せん　疝気　1694　鍼灸そかい集　高津敬節_ページ_1.jpg")</f>
        <v>せ/せん　疝気　1694　鍼灸そかい集　高津敬節_ページ_1.jpg</v>
      </c>
    </row>
    <row r="3239" spans="1:2" x14ac:dyDescent="0.15">
      <c r="A3239" t="s">
        <v>3212</v>
      </c>
      <c r="B3239" t="str">
        <f>HYPERLINK("せ/せん　疝気　1694　鍼灸そかい集　高津敬節_ページ_2.jpg")</f>
        <v>せ/せん　疝気　1694　鍼灸そかい集　高津敬節_ページ_2.jpg</v>
      </c>
    </row>
    <row r="3240" spans="1:2" x14ac:dyDescent="0.15">
      <c r="A3240" t="s">
        <v>3213</v>
      </c>
      <c r="B3240" t="str">
        <f>HYPERLINK("せ/せん　疝気　1696　広益鍼灸抜萃　著者未詳_ページ_1.jpg")</f>
        <v>せ/せん　疝気　1696　広益鍼灸抜萃　著者未詳_ページ_1.jpg</v>
      </c>
    </row>
    <row r="3241" spans="1:2" x14ac:dyDescent="0.15">
      <c r="A3241" t="s">
        <v>3214</v>
      </c>
      <c r="B3241" t="str">
        <f>HYPERLINK("せ/せん　疝気　1696　広益鍼灸抜萃　著者未詳_ページ_2.jpg")</f>
        <v>せ/せん　疝気　1696　広益鍼灸抜萃　著者未詳_ページ_2.jpg</v>
      </c>
    </row>
    <row r="3242" spans="1:2" x14ac:dyDescent="0.15">
      <c r="A3242" t="s">
        <v>3215</v>
      </c>
      <c r="B3242" t="str">
        <f>HYPERLINK("せ/せん　疝気　1698　鍼灸抜粋大成　岡本一抱_ページ_1.jpg")</f>
        <v>せ/せん　疝気　1698　鍼灸抜粋大成　岡本一抱_ページ_1.jpg</v>
      </c>
    </row>
    <row r="3243" spans="1:2" x14ac:dyDescent="0.15">
      <c r="A3243" t="s">
        <v>3216</v>
      </c>
      <c r="B3243" t="str">
        <f>HYPERLINK("せ/せん　疝気　1698　鍼灸抜粋大成　岡本一抱_ページ_2.jpg")</f>
        <v>せ/せん　疝気　1698　鍼灸抜粋大成　岡本一抱_ページ_2.jpg</v>
      </c>
    </row>
    <row r="3244" spans="1:2" x14ac:dyDescent="0.15">
      <c r="A3244" t="s">
        <v>3217</v>
      </c>
      <c r="B3244" t="str">
        <f>HYPERLINK("せ/せん　疝気　1703　鍼灸阿是要穴　岡本一抱_ページ_1.jpg")</f>
        <v>せ/せん　疝気　1703　鍼灸阿是要穴　岡本一抱_ページ_1.jpg</v>
      </c>
    </row>
    <row r="3245" spans="1:2" x14ac:dyDescent="0.15">
      <c r="A3245" t="s">
        <v>3218</v>
      </c>
      <c r="B3245" t="str">
        <f>HYPERLINK("せ/せん　疝気　1703　鍼灸阿是要穴　岡本一抱_ページ_2.jpg")</f>
        <v>せ/せん　疝気　1703　鍼灸阿是要穴　岡本一抱_ページ_2.jpg</v>
      </c>
    </row>
    <row r="3246" spans="1:2" x14ac:dyDescent="0.15">
      <c r="A3246" t="s">
        <v>3219</v>
      </c>
      <c r="B3246" t="str">
        <f>HYPERLINK("せ/せん　疝気　1758　灸ぜつ塩土伝　三宅意安.jpg")</f>
        <v>せ/せん　疝気　1758　灸ぜつ塩土伝　三宅意安.jpg</v>
      </c>
    </row>
    <row r="3247" spans="1:2" x14ac:dyDescent="0.15">
      <c r="A3247" t="s">
        <v>3220</v>
      </c>
      <c r="B3247" t="str">
        <f>HYPERLINK("せ/せん　疝気　1767　鍼灸則　菅沼周桂_ページ_1.jpg")</f>
        <v>せ/せん　疝気　1767　鍼灸則　菅沼周桂_ページ_1.jpg</v>
      </c>
    </row>
    <row r="3248" spans="1:2" x14ac:dyDescent="0.15">
      <c r="A3248" t="s">
        <v>3221</v>
      </c>
      <c r="B3248" t="str">
        <f>HYPERLINK("せ/せん　疝気　1767　鍼灸則　菅沼周桂_ページ_2.jpg")</f>
        <v>せ/せん　疝気　1767　鍼灸則　菅沼周桂_ページ_2.jpg</v>
      </c>
    </row>
    <row r="3249" spans="1:2" x14ac:dyDescent="0.15">
      <c r="A3249" t="s">
        <v>3222</v>
      </c>
      <c r="B3249" t="str">
        <f>HYPERLINK("せ/せん　疝気　1773　鍼灸手引草　大簡室主人_ページ_1.jpg")</f>
        <v>せ/せん　疝気　1773　鍼灸手引草　大簡室主人_ページ_1.jpg</v>
      </c>
    </row>
    <row r="3250" spans="1:2" x14ac:dyDescent="0.15">
      <c r="A3250" t="s">
        <v>3223</v>
      </c>
      <c r="B3250" t="str">
        <f>HYPERLINK("せ/せん　疝気　1773　鍼灸手引草　大簡室主人_ページ_2.jpg")</f>
        <v>せ/せん　疝気　1773　鍼灸手引草　大簡室主人_ページ_2.jpg</v>
      </c>
    </row>
    <row r="3251" spans="1:2" x14ac:dyDescent="0.15">
      <c r="A3251" t="s">
        <v>3224</v>
      </c>
      <c r="B3251" t="str">
        <f>HYPERLINK("せ/せん　疝気　1773　鍼灸手引草　大簡室主人_ページ_3.jpg")</f>
        <v>せ/せん　疝気　1773　鍼灸手引草　大簡室主人_ページ_3.jpg</v>
      </c>
    </row>
    <row r="3252" spans="1:2" x14ac:dyDescent="0.15">
      <c r="A3252" t="s">
        <v>3225</v>
      </c>
      <c r="B3252" t="str">
        <f>HYPERLINK("せ/せん　疝気　1773　鍼灸手引草　大簡室主人_ページ_4.jpg")</f>
        <v>せ/せん　疝気　1773　鍼灸手引草　大簡室主人_ページ_4.jpg</v>
      </c>
    </row>
    <row r="3253" spans="1:2" x14ac:dyDescent="0.15">
      <c r="A3253" t="s">
        <v>3226</v>
      </c>
      <c r="B3253" t="str">
        <f>HYPERLINK("せ/せん　疝気　1785　鍼書　本城義軒_ページ_1.jpg")</f>
        <v>せ/せん　疝気　1785　鍼書　本城義軒_ページ_1.jpg</v>
      </c>
    </row>
    <row r="3254" spans="1:2" x14ac:dyDescent="0.15">
      <c r="A3254" t="s">
        <v>3227</v>
      </c>
      <c r="B3254" t="str">
        <f>HYPERLINK("せ/せん　疝気　1785　鍼書　本城義軒_ページ_2.jpg")</f>
        <v>せ/せん　疝気　1785　鍼書　本城義軒_ページ_2.jpg</v>
      </c>
    </row>
    <row r="3255" spans="1:2" x14ac:dyDescent="0.15">
      <c r="A3255" t="s">
        <v>3228</v>
      </c>
      <c r="B3255" t="str">
        <f>HYPERLINK("せ/せん　疝気　1792　鍼法要集　源長起_ページ_1.jpg")</f>
        <v>せ/せん　疝気　1792　鍼法要集　源長起_ページ_1.jpg</v>
      </c>
    </row>
    <row r="3256" spans="1:2" x14ac:dyDescent="0.15">
      <c r="A3256" t="s">
        <v>3229</v>
      </c>
      <c r="B3256" t="str">
        <f>HYPERLINK("せ/せん　疝気　1792　鍼法要集　源長起_ページ_2.jpg")</f>
        <v>せ/せん　疝気　1792　鍼法要集　源長起_ページ_2.jpg</v>
      </c>
    </row>
    <row r="3257" spans="1:2" x14ac:dyDescent="0.15">
      <c r="A3257" t="s">
        <v>3230</v>
      </c>
      <c r="B3257" t="str">
        <f>HYPERLINK("せ/せん　疝気　1807　続名家灸選　平井庸信_ページ_1.jpg")</f>
        <v>せ/せん　疝気　1807　続名家灸選　平井庸信_ページ_1.jpg</v>
      </c>
    </row>
    <row r="3258" spans="1:2" x14ac:dyDescent="0.15">
      <c r="A3258" t="s">
        <v>3231</v>
      </c>
      <c r="B3258" t="str">
        <f>HYPERLINK("せ/せん　疝気　1807　続名家灸選　平井庸信_ページ_2.jpg")</f>
        <v>せ/せん　疝気　1807　続名家灸選　平井庸信_ページ_2.jpg</v>
      </c>
    </row>
    <row r="3259" spans="1:2" x14ac:dyDescent="0.15">
      <c r="A3259" t="s">
        <v>3232</v>
      </c>
      <c r="B3259" t="str">
        <f>HYPERLINK("せ/せん　疝気　1813　名家灸選　浅井惟亨_ページ_1.jpg")</f>
        <v>せ/せん　疝気　1813　名家灸選　浅井惟亨_ページ_1.jpg</v>
      </c>
    </row>
    <row r="3260" spans="1:2" x14ac:dyDescent="0.15">
      <c r="A3260" t="s">
        <v>3233</v>
      </c>
      <c r="B3260" t="str">
        <f>HYPERLINK("せ/せん　疝気　1813　名家灸選　浅井惟亨_ページ_2.jpg")</f>
        <v>せ/せん　疝気　1813　名家灸選　浅井惟亨_ページ_2.jpg</v>
      </c>
    </row>
    <row r="3261" spans="1:2" x14ac:dyDescent="0.15">
      <c r="A3261" t="s">
        <v>3234</v>
      </c>
      <c r="B3261" t="str">
        <f>HYPERLINK("せ/せん　疝気　1813　名家灸選三編　平井庸信_ページ_1.jpg")</f>
        <v>せ/せん　疝気　1813　名家灸選三編　平井庸信_ページ_1.jpg</v>
      </c>
    </row>
    <row r="3262" spans="1:2" x14ac:dyDescent="0.15">
      <c r="A3262" t="s">
        <v>3235</v>
      </c>
      <c r="B3262" t="str">
        <f>HYPERLINK("せ/せん　疝気　1813　名家灸選三編　平井庸信_ページ_2.jpg")</f>
        <v>せ/せん　疝気　1813　名家灸選三編　平井庸信_ページ_2.jpg</v>
      </c>
    </row>
    <row r="3263" spans="1:2" x14ac:dyDescent="0.15">
      <c r="A3263" t="s">
        <v>3236</v>
      </c>
      <c r="B3263" t="str">
        <f>HYPERLINK("せ/せん　疝気　せんき　1718　鍼灸重宝記　本郷正豊.jpg")</f>
        <v>せ/せん　疝気　せんき　1718　鍼灸重宝記　本郷正豊.jpg</v>
      </c>
    </row>
    <row r="3264" spans="1:2" x14ac:dyDescent="0.15">
      <c r="A3264" t="s">
        <v>3237</v>
      </c>
      <c r="B3264" t="str">
        <f>HYPERLINK("せ/せん　疝気　せんき、又、あたはら　腸神経痛　1887（明治20）　鍼灸備要　青山道醇.jpg")</f>
        <v>せ/せん　疝気　せんき、又、あたはら　腸神経痛　1887（明治20）　鍼灸備要　青山道醇.jpg</v>
      </c>
    </row>
    <row r="3265" spans="1:2" x14ac:dyDescent="0.15">
      <c r="A3265" t="s">
        <v>3238</v>
      </c>
      <c r="B3265" t="str">
        <f>HYPERLINK("せ/せん　疝気　附　陰頭痛　并　陰腫挺出　成書年未詳　灸穴集　著者未詳_ページ_01.jpg")</f>
        <v>せ/せん　疝気　附　陰頭痛　并　陰腫挺出　成書年未詳　灸穴集　著者未詳_ページ_01.jpg</v>
      </c>
    </row>
    <row r="3266" spans="1:2" x14ac:dyDescent="0.15">
      <c r="A3266" t="s">
        <v>3239</v>
      </c>
      <c r="B3266" t="str">
        <f>HYPERLINK("せ/せん　疝気　附　陰頭痛　并　陰腫挺出　成書年未詳　灸穴集　著者未詳_ページ_02.jpg")</f>
        <v>せ/せん　疝気　附　陰頭痛　并　陰腫挺出　成書年未詳　灸穴集　著者未詳_ページ_02.jpg</v>
      </c>
    </row>
    <row r="3267" spans="1:2" x14ac:dyDescent="0.15">
      <c r="A3267" t="s">
        <v>3240</v>
      </c>
      <c r="B3267" t="str">
        <f>HYPERLINK("せ/せん　疝気　附　陰頭痛　并　陰腫挺出　成書年未詳　灸穴集　著者未詳_ページ_03.jpg")</f>
        <v>せ/せん　疝気　附　陰頭痛　并　陰腫挺出　成書年未詳　灸穴集　著者未詳_ページ_03.jpg</v>
      </c>
    </row>
    <row r="3268" spans="1:2" x14ac:dyDescent="0.15">
      <c r="A3268" t="s">
        <v>3241</v>
      </c>
      <c r="B3268" t="str">
        <f>HYPERLINK("せ/せん　疝気　附　陰頭痛　并　陰腫挺出　成書年未詳　灸穴集　著者未詳_ページ_04.jpg")</f>
        <v>せ/せん　疝気　附　陰頭痛　并　陰腫挺出　成書年未詳　灸穴集　著者未詳_ページ_04.jpg</v>
      </c>
    </row>
    <row r="3269" spans="1:2" x14ac:dyDescent="0.15">
      <c r="A3269" t="s">
        <v>3242</v>
      </c>
      <c r="B3269" t="str">
        <f>HYPERLINK("せ/せん　疝気　附　陰頭痛　并　陰腫挺出　成書年未詳　灸穴集　著者未詳_ページ_05.jpg")</f>
        <v>せ/せん　疝気　附　陰頭痛　并　陰腫挺出　成書年未詳　灸穴集　著者未詳_ページ_05.jpg</v>
      </c>
    </row>
    <row r="3270" spans="1:2" x14ac:dyDescent="0.15">
      <c r="A3270" t="s">
        <v>3243</v>
      </c>
      <c r="B3270" t="str">
        <f>HYPERLINK("せ/せん　疝気　附　陰頭痛　并　陰腫挺出　成書年未詳　灸穴集　著者未詳_ページ_06.jpg")</f>
        <v>せ/せん　疝気　附　陰頭痛　并　陰腫挺出　成書年未詳　灸穴集　著者未詳_ページ_06.jpg</v>
      </c>
    </row>
    <row r="3271" spans="1:2" x14ac:dyDescent="0.15">
      <c r="A3271" t="s">
        <v>3244</v>
      </c>
      <c r="B3271" t="str">
        <f>HYPERLINK("せ/せん　疝気　附　陰頭痛　并　陰腫挺出　成書年未詳　灸穴集　著者未詳_ページ_07.jpg")</f>
        <v>せ/せん　疝気　附　陰頭痛　并　陰腫挺出　成書年未詳　灸穴集　著者未詳_ページ_07.jpg</v>
      </c>
    </row>
    <row r="3272" spans="1:2" x14ac:dyDescent="0.15">
      <c r="A3272" t="s">
        <v>3245</v>
      </c>
      <c r="B3272" t="str">
        <f>HYPERLINK("せ/せん　疝気　附　陰頭痛　并　陰腫挺出　成書年未詳　灸穴集　著者未詳_ページ_08.jpg")</f>
        <v>せ/せん　疝気　附　陰頭痛　并　陰腫挺出　成書年未詳　灸穴集　著者未詳_ページ_08.jpg</v>
      </c>
    </row>
    <row r="3273" spans="1:2" x14ac:dyDescent="0.15">
      <c r="A3273" t="s">
        <v>3246</v>
      </c>
      <c r="B3273" t="str">
        <f>HYPERLINK("せ/せん　疝気　附　陰頭痛　并　陰腫挺出　成書年未詳　灸穴集　著者未詳_ページ_09.jpg")</f>
        <v>せ/せん　疝気　附　陰頭痛　并　陰腫挺出　成書年未詳　灸穴集　著者未詳_ページ_09.jpg</v>
      </c>
    </row>
    <row r="3274" spans="1:2" x14ac:dyDescent="0.15">
      <c r="A3274" t="s">
        <v>3247</v>
      </c>
      <c r="B3274" t="str">
        <f>HYPERLINK("せ/せん　疝気　附　陰頭痛　并　陰腫挺出　成書年未詳　灸穴集　著者未詳_ページ_10.jpg")</f>
        <v>せ/せん　疝気　附　陰頭痛　并　陰腫挺出　成書年未詳　灸穴集　著者未詳_ページ_10.jpg</v>
      </c>
    </row>
    <row r="3275" spans="1:2" x14ac:dyDescent="0.15">
      <c r="A3275" t="s">
        <v>3248</v>
      </c>
      <c r="B3275" t="str">
        <f>HYPERLINK("せ/せん　疝気　附　陰頭痛　并　陰腫挺出　成書年未詳　灸穴集　著者未詳_ページ_11.jpg")</f>
        <v>せ/せん　疝気　附　陰頭痛　并　陰腫挺出　成書年未詳　灸穴集　著者未詳_ページ_11.jpg</v>
      </c>
    </row>
    <row r="3276" spans="1:2" x14ac:dyDescent="0.15">
      <c r="A3276" t="s">
        <v>3249</v>
      </c>
      <c r="B3276" t="str">
        <f>HYPERLINK("せ/せん　疝気上衝心　1800　岡田流鍼術書　岡田見龍_ページ_1.jpg")</f>
        <v>せ/せん　疝気上衝心　1800　岡田流鍼術書　岡田見龍_ページ_1.jpg</v>
      </c>
    </row>
    <row r="3277" spans="1:2" x14ac:dyDescent="0.15">
      <c r="A3277" t="s">
        <v>3250</v>
      </c>
      <c r="B3277" t="str">
        <f>HYPERLINK("せ/せん　疝気上衝心　1800　岡田流鍼術書　岡田見龍_ページ_2.jpg")</f>
        <v>せ/せん　疝気上衝心　1800　岡田流鍼術書　岡田見龍_ページ_2.jpg</v>
      </c>
    </row>
    <row r="3278" spans="1:2" x14ac:dyDescent="0.15">
      <c r="A3278" t="s">
        <v>3251</v>
      </c>
      <c r="B3278" t="str">
        <f>HYPERLINK("せ/せん　疝気之針穴　1613　古今集鍼法　長生庵了味か.jpg")</f>
        <v>せ/せん　疝気之針穴　1613　古今集鍼法　長生庵了味か.jpg</v>
      </c>
    </row>
    <row r="3279" spans="1:2" x14ac:dyDescent="0.15">
      <c r="A3279" t="s">
        <v>3252</v>
      </c>
      <c r="B3279" t="str">
        <f>HYPERLINK("せ/せん　疝気俄発陰嚢腫　1594　経脈方寸秘書　曲直瀬道三.jpg")</f>
        <v>せ/せん　疝気俄発陰嚢腫　1594　経脈方寸秘書　曲直瀬道三.jpg</v>
      </c>
    </row>
    <row r="3280" spans="1:2" x14ac:dyDescent="0.15">
      <c r="A3280" t="s">
        <v>3253</v>
      </c>
      <c r="B3280" t="str">
        <f>HYPERLINK("せ/せん　疝気積　成書年未詳　経穴図解　著者未詳.jpg")</f>
        <v>せ/せん　疝気積　成書年未詳　経穴図解　著者未詳.jpg</v>
      </c>
    </row>
    <row r="3281" spans="1:2" x14ac:dyDescent="0.15">
      <c r="A3281" t="s">
        <v>3254</v>
      </c>
      <c r="B3281" t="str">
        <f>HYPERLINK("せ/せん　疝遺溺りゅう　0300　●足厥陰脈動喜怒不時発疝遺溺りゅう　第十一　鍼灸甲乙経　皇甫謐_ページ_1.jpg")</f>
        <v>せ/せん　疝遺溺りゅう　0300　●足厥陰脈動喜怒不時発疝遺溺りゅう　第十一　鍼灸甲乙経　皇甫謐_ページ_1.jpg</v>
      </c>
    </row>
    <row r="3282" spans="1:2" x14ac:dyDescent="0.15">
      <c r="A3282" t="s">
        <v>3255</v>
      </c>
      <c r="B3282" t="str">
        <f>HYPERLINK("せ/せん　疝遺溺りゅう　0300　●足厥陰脈動喜怒不時発疝遺溺りゅう　第十一　鍼灸甲乙経　皇甫謐_ページ_2.jpg")</f>
        <v>せ/せん　疝遺溺りゅう　0300　●足厥陰脈動喜怒不時発疝遺溺りゅう　第十一　鍼灸甲乙経　皇甫謐_ページ_2.jpg</v>
      </c>
    </row>
    <row r="3283" spans="1:2" x14ac:dyDescent="0.15">
      <c r="A3283" t="s">
        <v>3256</v>
      </c>
      <c r="B3283" t="str">
        <f>HYPERLINK("せ/せん　疝遺溺りゅう　0300　●足厥陰脈動喜怒不時発疝遺溺りゅう　第十一　鍼灸甲乙経　皇甫謐_ページ_3.jpg")</f>
        <v>せ/せん　疝遺溺りゅう　0300　●足厥陰脈動喜怒不時発疝遺溺りゅう　第十一　鍼灸甲乙経　皇甫謐_ページ_3.jpg</v>
      </c>
    </row>
    <row r="3284" spans="1:2" x14ac:dyDescent="0.15">
      <c r="A3284" t="s">
        <v>3257</v>
      </c>
      <c r="B3284" t="str">
        <f>HYPERLINK("せ/せん　癬疥瘡　1220　鍼灸資生経　王執中_ページ_1.jpg")</f>
        <v>せ/せん　癬疥瘡　1220　鍼灸資生経　王執中_ページ_1.jpg</v>
      </c>
    </row>
    <row r="3285" spans="1:2" x14ac:dyDescent="0.15">
      <c r="A3285" t="s">
        <v>3258</v>
      </c>
      <c r="B3285" t="str">
        <f>HYPERLINK("せ/せん　癬疥瘡　1220　鍼灸資生経　王執中_ページ_2.jpg")</f>
        <v>せ/せん　癬疥瘡　1220　鍼灸資生経　王執中_ページ_2.jpg</v>
      </c>
    </row>
    <row r="3286" spans="1:2" x14ac:dyDescent="0.15">
      <c r="A3286" t="s">
        <v>3259</v>
      </c>
      <c r="B3286" t="str">
        <f>HYPERLINK("せ/せん　癬瘍妙　1758　灸ぜつ塩土伝　三宅意安_ページ_1.jpg")</f>
        <v>せ/せん　癬瘍妙　1758　灸ぜつ塩土伝　三宅意安_ページ_1.jpg</v>
      </c>
    </row>
    <row r="3287" spans="1:2" x14ac:dyDescent="0.15">
      <c r="A3287" t="s">
        <v>3260</v>
      </c>
      <c r="B3287" t="str">
        <f>HYPERLINK("せ/せん　癬瘍妙　1758　灸ぜつ塩土伝　三宅意安_ページ_2.jpg")</f>
        <v>せ/せん　癬瘍妙　1758　灸ぜつ塩土伝　三宅意安_ページ_2.jpg</v>
      </c>
    </row>
    <row r="3288" spans="1:2" x14ac:dyDescent="0.15">
      <c r="A3288" t="s">
        <v>3261</v>
      </c>
      <c r="B3288" t="str">
        <f>HYPERLINK("せ/せん　癬瘡　1807　続名家灸選　平井庸信.jpg")</f>
        <v>せ/せん　癬瘡　1807　続名家灸選　平井庸信.jpg</v>
      </c>
    </row>
    <row r="3289" spans="1:2" x14ac:dyDescent="0.15">
      <c r="A3289" t="s">
        <v>3262</v>
      </c>
      <c r="B3289" t="str">
        <f>HYPERLINK("せ/せん　遺精　1574　兪穴参伍的法　秦宗巴.jpg")</f>
        <v>せ/せん　遺精　1574　兪穴参伍的法　秦宗巴.jpg</v>
      </c>
    </row>
    <row r="3290" spans="1:2" x14ac:dyDescent="0.15">
      <c r="A3290" t="s">
        <v>3263</v>
      </c>
      <c r="B3290" t="str">
        <f>HYPERLINK("せ/せん　閃著腰疼錯，出気腰疼及本蔵気虚　1315　鍼経摘英集　元・杜思敬「済生抜粋方」_ページ_1.jpg")</f>
        <v>せ/せん　閃著腰疼錯，出気腰疼及本蔵気虚　1315　鍼経摘英集　元・杜思敬「済生抜粋方」_ページ_1.jpg</v>
      </c>
    </row>
    <row r="3291" spans="1:2" x14ac:dyDescent="0.15">
      <c r="A3291" t="s">
        <v>3264</v>
      </c>
      <c r="B3291" t="str">
        <f>HYPERLINK("せ/せん　閃著腰疼錯，出気腰疼及本蔵気虚　1315　鍼経摘英集　元・杜思敬「済生抜粋方」_ページ_2.jpg")</f>
        <v>せ/せん　閃著腰疼錯，出気腰疼及本蔵気虚　1315　鍼経摘英集　元・杜思敬「済生抜粋方」_ページ_2.jpg</v>
      </c>
    </row>
    <row r="3292" spans="1:2" x14ac:dyDescent="0.15">
      <c r="A3292" t="s">
        <v>3265</v>
      </c>
      <c r="B3292" t="str">
        <f>HYPERLINK("ぜ/ぜつ　小児の舌瘡　子どものしたにかさ出る時　1780　鍼灸極秘伝　木村太沖.jpg")</f>
        <v>ぜ/ぜつ　小児の舌瘡　子どものしたにかさ出る時　1780　鍼灸極秘伝　木村太沖.jpg</v>
      </c>
    </row>
    <row r="3293" spans="1:2" x14ac:dyDescent="0.15">
      <c r="A3293" t="s">
        <v>3266</v>
      </c>
      <c r="B3293" t="str">
        <f>HYPERLINK("ぜ/ぜつ　絶孕　1703　鍼灸阿是要穴　岡本一抱_ページ_1.jpg")</f>
        <v>ぜ/ぜつ　絶孕　1703　鍼灸阿是要穴　岡本一抱_ページ_1.jpg</v>
      </c>
    </row>
    <row r="3294" spans="1:2" x14ac:dyDescent="0.15">
      <c r="A3294" t="s">
        <v>3267</v>
      </c>
      <c r="B3294" t="str">
        <f>HYPERLINK("ぜ/ぜつ　絶孕　1703　鍼灸阿是要穴　岡本一抱_ページ_2.jpg")</f>
        <v>ぜ/ぜつ　絶孕　1703　鍼灸阿是要穴　岡本一抱_ページ_2.jpg</v>
      </c>
    </row>
    <row r="3295" spans="1:2" x14ac:dyDescent="0.15">
      <c r="A3295" t="s">
        <v>3268</v>
      </c>
      <c r="B3295" t="str">
        <f>HYPERLINK("ぜ/ぜつ　舌　1679　鍼法奇貨　渡辺東伯_ページ_1.jpg")</f>
        <v>ぜ/ぜつ　舌　1679　鍼法奇貨　渡辺東伯_ページ_1.jpg</v>
      </c>
    </row>
    <row r="3296" spans="1:2" x14ac:dyDescent="0.15">
      <c r="A3296" t="s">
        <v>3269</v>
      </c>
      <c r="B3296" t="str">
        <f>HYPERLINK("ぜ/ぜつ　舌　1679　鍼法奇貨　渡辺東伯_ページ_2.jpg")</f>
        <v>ぜ/ぜつ　舌　1679　鍼法奇貨　渡辺東伯_ページ_2.jpg</v>
      </c>
    </row>
    <row r="3297" spans="1:2" x14ac:dyDescent="0.15">
      <c r="A3297" t="s">
        <v>3270</v>
      </c>
      <c r="B3297" t="str">
        <f>HYPERLINK("ぜ/ぜつ　舌　1679　鍼法奇貨　渡辺東伯_ページ_3.jpg")</f>
        <v>ぜ/ぜつ　舌　1679　鍼法奇貨　渡辺東伯_ページ_3.jpg</v>
      </c>
    </row>
    <row r="3298" spans="1:2" x14ac:dyDescent="0.15">
      <c r="A3298" t="s">
        <v>3271</v>
      </c>
      <c r="B3298" t="str">
        <f>HYPERLINK("ぜ/ぜつ　舌　1679　鍼法奇貨　渡辺東伯_ページ_4.jpg")</f>
        <v>ぜ/ぜつ　舌　1679　鍼法奇貨　渡辺東伯_ページ_4.jpg</v>
      </c>
    </row>
    <row r="3299" spans="1:2" x14ac:dyDescent="0.15">
      <c r="A3299" t="s">
        <v>3272</v>
      </c>
      <c r="B3299" t="str">
        <f>HYPERLINK("ぜ/ぜつ　舌巻のう縮　1694　選鍼三要集　杉山和一.jpg")</f>
        <v>ぜ/ぜつ　舌巻のう縮　1694　選鍼三要集　杉山和一.jpg</v>
      </c>
    </row>
    <row r="3300" spans="1:2" x14ac:dyDescent="0.15">
      <c r="A3300" t="s">
        <v>3273</v>
      </c>
      <c r="B3300" t="str">
        <f>HYPERLINK("ぜ/ぜつ　舌強　1220　鍼灸資生経　王執中.jpg")</f>
        <v>ぜ/ぜつ　舌強　1220　鍼灸資生経　王執中.jpg</v>
      </c>
    </row>
    <row r="3301" spans="1:2" x14ac:dyDescent="0.15">
      <c r="A3301" t="s">
        <v>3274</v>
      </c>
      <c r="B3301" t="str">
        <f>HYPERLINK("ぜ/ぜつ　舌強　1299　続添要穴集　惟宗時俊.jpg")</f>
        <v>ぜ/ぜつ　舌強　1299　続添要穴集　惟宗時俊.jpg</v>
      </c>
    </row>
    <row r="3302" spans="1:2" x14ac:dyDescent="0.15">
      <c r="A3302" t="s">
        <v>3275</v>
      </c>
      <c r="B3302" t="str">
        <f>HYPERLINK("ぜ/ぜつ　舌強（したこわ）る　1887（明治20）　鍼灸備要　青山道醇.jpg")</f>
        <v>ぜ/ぜつ　舌強（したこわ）る　1887（明治20）　鍼灸備要　青山道醇.jpg</v>
      </c>
    </row>
    <row r="3303" spans="1:2" x14ac:dyDescent="0.15">
      <c r="A3303" t="s">
        <v>3276</v>
      </c>
      <c r="B3303" t="str">
        <f>HYPERLINK("ぜ/ぜつ　舌根強急言語不爽　1765　鍼法弁惑　藤井秀孟_ページ_1.jpg")</f>
        <v>ぜ/ぜつ　舌根強急言語不爽　1765　鍼法弁惑　藤井秀孟_ページ_1.jpg</v>
      </c>
    </row>
    <row r="3304" spans="1:2" x14ac:dyDescent="0.15">
      <c r="A3304" t="s">
        <v>3277</v>
      </c>
      <c r="B3304" t="str">
        <f>HYPERLINK("ぜ/ぜつ　舌根強急言語不爽　1765　鍼法弁惑　藤井秀孟_ページ_2.jpg")</f>
        <v>ぜ/ぜつ　舌根強急言語不爽　1765　鍼法弁惑　藤井秀孟_ページ_2.jpg</v>
      </c>
    </row>
    <row r="3305" spans="1:2" x14ac:dyDescent="0.15">
      <c r="A3305" t="s">
        <v>3278</v>
      </c>
      <c r="B3305" t="str">
        <f>HYPERLINK("ぜ/ぜつ　舌疽　成書年未詳　灸穴集　著者未詳.jpg")</f>
        <v>ぜ/ぜつ　舌疽　成書年未詳　灸穴集　著者未詳.jpg</v>
      </c>
    </row>
    <row r="3306" spans="1:2" x14ac:dyDescent="0.15">
      <c r="A3306" t="s">
        <v>3279</v>
      </c>
      <c r="B3306" t="str">
        <f>HYPERLINK("ぜ/ぜつ　舌病　0650　千金方　孫思ばく.jpg")</f>
        <v>ぜ/ぜつ　舌病　0650　千金方　孫思ばく.jpg</v>
      </c>
    </row>
    <row r="3307" spans="1:2" x14ac:dyDescent="0.15">
      <c r="A3307" t="s">
        <v>3280</v>
      </c>
      <c r="B3307" t="str">
        <f>HYPERLINK("ぜ/ぜつ　舌病　1574　兪穴参伍的法　秦宗巴.jpg")</f>
        <v>ぜ/ぜつ　舌病　1574　兪穴参伍的法　秦宗巴.jpg</v>
      </c>
    </row>
    <row r="3308" spans="1:2" x14ac:dyDescent="0.15">
      <c r="A3308" t="s">
        <v>3281</v>
      </c>
      <c r="B3308" t="str">
        <f>HYPERLINK("ぜ/ぜつ　舌病　1718　鍼灸重宝記　本郷正豊_ページ_1.jpg")</f>
        <v>ぜ/ぜつ　舌病　1718　鍼灸重宝記　本郷正豊_ページ_1.jpg</v>
      </c>
    </row>
    <row r="3309" spans="1:2" x14ac:dyDescent="0.15">
      <c r="A3309" t="s">
        <v>3282</v>
      </c>
      <c r="B3309" t="str">
        <f>HYPERLINK("ぜ/ぜつ　舌病　1718　鍼灸重宝記　本郷正豊_ページ_2.jpg")</f>
        <v>ぜ/ぜつ　舌病　1718　鍼灸重宝記　本郷正豊_ページ_2.jpg</v>
      </c>
    </row>
    <row r="3310" spans="1:2" x14ac:dyDescent="0.15">
      <c r="A3310" t="s">
        <v>3283</v>
      </c>
      <c r="B3310" t="str">
        <f>HYPERLINK("ぜ/ぜつ　舌病　1773　鍼灸手引草　大簡室主人_ページ_1.jpg")</f>
        <v>ぜ/ぜつ　舌病　1773　鍼灸手引草　大簡室主人_ページ_1.jpg</v>
      </c>
    </row>
    <row r="3311" spans="1:2" x14ac:dyDescent="0.15">
      <c r="A3311" t="s">
        <v>3284</v>
      </c>
      <c r="B3311" t="str">
        <f>HYPERLINK("ぜ/ぜつ　舌病　1773　鍼灸手引草　大簡室主人_ページ_2.jpg")</f>
        <v>ぜ/ぜつ　舌病　1773　鍼灸手引草　大簡室主人_ページ_2.jpg</v>
      </c>
    </row>
    <row r="3312" spans="1:2" x14ac:dyDescent="0.15">
      <c r="A3312" t="s">
        <v>3285</v>
      </c>
      <c r="B3312" t="str">
        <f>HYPERLINK("ぜ/ぜつ　舌緩不語　1765　鍼法弁惑　藤井秀孟.jpg")</f>
        <v>ぜ/ぜつ　舌緩不語　1765　鍼法弁惑　藤井秀孟.jpg</v>
      </c>
    </row>
    <row r="3313" spans="1:2" x14ac:dyDescent="0.15">
      <c r="A3313" t="s">
        <v>3286</v>
      </c>
      <c r="B3313" t="str">
        <f>HYPERLINK("ぜ/ぜつ　舌緩（ゆるむ）　1887（明治20）　鍼灸備要　青山道醇.jpg")</f>
        <v>ぜ/ぜつ　舌緩（ゆるむ）　1887（明治20）　鍼灸備要　青山道醇.jpg</v>
      </c>
    </row>
    <row r="3314" spans="1:2" x14ac:dyDescent="0.15">
      <c r="A3314" t="s">
        <v>3287</v>
      </c>
      <c r="B3314" t="str">
        <f>HYPERLINK("ぜ/ぜつ　舌腫　舌はれて痛む病　舌炎、又、舌きん（ぜつきん）　1887（明治20）　鍼灸備要　青山道醇.jpg")</f>
        <v>ぜ/ぜつ　舌腫　舌はれて痛む病　舌炎、又、舌きん（ぜつきん）　1887（明治20）　鍼灸備要　青山道醇.jpg</v>
      </c>
    </row>
    <row r="3315" spans="1:2" x14ac:dyDescent="0.15">
      <c r="A3315" t="s">
        <v>3288</v>
      </c>
      <c r="B3315" t="str">
        <f>HYPERLINK("ぜ/ぜん　前陰腫痛　まへのはれていたむやまひ　太陰唇結締織炎　1887（明治20）　鍼灸備要　青山道醇.jpg")</f>
        <v>ぜ/ぜん　前陰腫痛　まへのはれていたむやまひ　太陰唇結締織炎　1887（明治20）　鍼灸備要　青山道醇.jpg</v>
      </c>
    </row>
    <row r="3316" spans="1:2" x14ac:dyDescent="0.15">
      <c r="A3316" t="s">
        <v>3289</v>
      </c>
      <c r="B3316" t="str">
        <f>HYPERLINK("ぜ/ぜん　前陰諸疾　1669　鍼灸枢要　山本玄通_ページ_1.jpg")</f>
        <v>ぜ/ぜん　前陰諸疾　1669　鍼灸枢要　山本玄通_ページ_1.jpg</v>
      </c>
    </row>
    <row r="3317" spans="1:2" x14ac:dyDescent="0.15">
      <c r="A3317" t="s">
        <v>3290</v>
      </c>
      <c r="B3317" t="str">
        <f>HYPERLINK("ぜ/ぜん　前陰諸疾　1669　鍼灸枢要　山本玄通_ページ_2.jpg")</f>
        <v>ぜ/ぜん　前陰諸疾　1669　鍼灸枢要　山本玄通_ページ_2.jpg</v>
      </c>
    </row>
    <row r="3318" spans="1:2" x14ac:dyDescent="0.15">
      <c r="A3318" t="s">
        <v>3291</v>
      </c>
      <c r="B3318" t="str">
        <f>HYPERLINK("ぜ/ぜん　前陰諸疾　1669　鍼灸枢要　山本玄通_ページ_3.jpg")</f>
        <v>ぜ/ぜん　前陰諸疾　1669　鍼灸枢要　山本玄通_ページ_3.jpg</v>
      </c>
    </row>
    <row r="3319" spans="1:2" x14ac:dyDescent="0.15">
      <c r="A3319" t="s">
        <v>3292</v>
      </c>
      <c r="B3319" t="str">
        <f>HYPERLINK("ぜ/ぜん　前陰諸疾　1669　鍼灸枢要　山本玄通_ページ_4.jpg")</f>
        <v>ぜ/ぜん　前陰諸疾　1669　鍼灸枢要　山本玄通_ページ_4.jpg</v>
      </c>
    </row>
    <row r="3320" spans="1:2" x14ac:dyDescent="0.15">
      <c r="A3320" t="s">
        <v>3293</v>
      </c>
      <c r="B3320" t="str">
        <f>HYPERLINK("ぜ/ぜん　前陰諸疾　1669　鍼灸枢要　山本玄通_ページ_5.jpg")</f>
        <v>ぜ/ぜん　前陰諸疾　1669　鍼灸枢要　山本玄通_ページ_5.jpg</v>
      </c>
    </row>
    <row r="3321" spans="1:2" x14ac:dyDescent="0.15">
      <c r="A3321" t="s">
        <v>3294</v>
      </c>
      <c r="B3321" t="str">
        <f>HYPERLINK("ぜ/ぜん　善大息　1694　選鍼三要集　杉山和一.jpg")</f>
        <v>ぜ/ぜん　善大息　1694　選鍼三要集　杉山和一.jpg</v>
      </c>
    </row>
    <row r="3322" spans="1:2" x14ac:dyDescent="0.15">
      <c r="A3322" t="s">
        <v>3295</v>
      </c>
      <c r="B3322" t="str">
        <f>HYPERLINK("ぜ/ぜん　善大息　1800　鍼灸備要　小坂元祐.jpg")</f>
        <v>ぜ/ぜん　善大息　1800　鍼灸備要　小坂元祐.jpg</v>
      </c>
    </row>
    <row r="3323" spans="1:2" x14ac:dyDescent="0.15">
      <c r="A3323" t="s">
        <v>3296</v>
      </c>
      <c r="B3323" t="str">
        <f>HYPERLINK("ぜ/ぜん　善忘　1669　鍼灸枢要　山本玄通_ページ_1.jpg")</f>
        <v>ぜ/ぜん　善忘　1669　鍼灸枢要　山本玄通_ページ_1.jpg</v>
      </c>
    </row>
    <row r="3324" spans="1:2" x14ac:dyDescent="0.15">
      <c r="A3324" t="s">
        <v>3297</v>
      </c>
      <c r="B3324" t="str">
        <f>HYPERLINK("ぜ/ぜん　善忘　1669　鍼灸枢要　山本玄通_ページ_2.jpg")</f>
        <v>ぜ/ぜん　善忘　1669　鍼灸枢要　山本玄通_ページ_2.jpg</v>
      </c>
    </row>
    <row r="3325" spans="1:2" x14ac:dyDescent="0.15">
      <c r="A3325" t="s">
        <v>3298</v>
      </c>
      <c r="B3325" t="str">
        <f>HYPERLINK("ぜ/ぜん　善忘　1800　鍼灸備要　小坂元祐.jpg")</f>
        <v>ぜ/ぜん　善忘　1800　鍼灸備要　小坂元祐.jpg</v>
      </c>
    </row>
    <row r="3326" spans="1:2" x14ac:dyDescent="0.15">
      <c r="A3326" t="s">
        <v>3299</v>
      </c>
      <c r="B3326" t="str">
        <f>HYPERLINK("ぜ/ぜん　善怒　1669　鍼灸枢要　山本玄通_ページ_1.jpg")</f>
        <v>ぜ/ぜん　善怒　1669　鍼灸枢要　山本玄通_ページ_1.jpg</v>
      </c>
    </row>
    <row r="3327" spans="1:2" x14ac:dyDescent="0.15">
      <c r="A3327" t="s">
        <v>3300</v>
      </c>
      <c r="B3327" t="str">
        <f>HYPERLINK("ぜ/ぜん　善怒　1669　鍼灸枢要　山本玄通_ページ_2.jpg")</f>
        <v>ぜ/ぜん　善怒　1669　鍼灸枢要　山本玄通_ページ_2.jpg</v>
      </c>
    </row>
    <row r="3328" spans="1:2" x14ac:dyDescent="0.15">
      <c r="A3328" t="s">
        <v>3301</v>
      </c>
      <c r="B3328" t="str">
        <f>HYPERLINK("ぜ/ぜん　善怒　1800　鍼灸備要　小坂元祐.jpg")</f>
        <v>ぜ/ぜん　善怒　1800　鍼灸備要　小坂元祐.jpg</v>
      </c>
    </row>
    <row r="3329" spans="1:2" x14ac:dyDescent="0.15">
      <c r="A3329" t="s">
        <v>3302</v>
      </c>
      <c r="B3329" t="str">
        <f>HYPERLINK("ぜ/ぜん　善恐　1669　鍼灸枢要　山本玄通_ページ_1.jpg")</f>
        <v>ぜ/ぜん　善恐　1669　鍼灸枢要　山本玄通_ページ_1.jpg</v>
      </c>
    </row>
    <row r="3330" spans="1:2" x14ac:dyDescent="0.15">
      <c r="A3330" t="s">
        <v>3303</v>
      </c>
      <c r="B3330" t="str">
        <f>HYPERLINK("ぜ/ぜん　善恐　1669　鍼灸枢要　山本玄通_ページ_2.jpg")</f>
        <v>ぜ/ぜん　善恐　1669　鍼灸枢要　山本玄通_ページ_2.jpg</v>
      </c>
    </row>
    <row r="3331" spans="1:2" x14ac:dyDescent="0.15">
      <c r="A3331" t="s">
        <v>3304</v>
      </c>
      <c r="B3331" t="str">
        <f>HYPERLINK("ぜ/ぜん　善恐　1800　鍼灸備要　小坂元祐.jpg")</f>
        <v>ぜ/ぜん　善恐　1800　鍼灸備要　小坂元祐.jpg</v>
      </c>
    </row>
    <row r="3332" spans="1:2" x14ac:dyDescent="0.15">
      <c r="A3332" t="s">
        <v>3305</v>
      </c>
      <c r="B3332" t="str">
        <f>HYPERLINK("ぜ/ぜん　善悲　1669　鍼灸枢要　山本玄通_ページ_1.jpg")</f>
        <v>ぜ/ぜん　善悲　1669　鍼灸枢要　山本玄通_ページ_1.jpg</v>
      </c>
    </row>
    <row r="3333" spans="1:2" x14ac:dyDescent="0.15">
      <c r="A3333" t="s">
        <v>3306</v>
      </c>
      <c r="B3333" t="str">
        <f>HYPERLINK("ぜ/ぜん　善悲　1669　鍼灸枢要　山本玄通_ページ_2.jpg")</f>
        <v>ぜ/ぜん　善悲　1669　鍼灸枢要　山本玄通_ページ_2.jpg</v>
      </c>
    </row>
    <row r="3334" spans="1:2" x14ac:dyDescent="0.15">
      <c r="A3334" t="s">
        <v>3307</v>
      </c>
      <c r="B3334" t="str">
        <f>HYPERLINK("ぜ/ぜん　善悲　1694　選鍼三要集　杉山和一.jpg")</f>
        <v>ぜ/ぜん　善悲　1694　選鍼三要集　杉山和一.jpg</v>
      </c>
    </row>
    <row r="3335" spans="1:2" x14ac:dyDescent="0.15">
      <c r="A3335" t="s">
        <v>3308</v>
      </c>
      <c r="B3335" t="str">
        <f>HYPERLINK("ぜ/ぜん　善悲　1800　鍼灸備要　小坂元祐.jpg")</f>
        <v>ぜ/ぜん　善悲　1800　鍼灸備要　小坂元祐.jpg</v>
      </c>
    </row>
    <row r="3336" spans="1:2" x14ac:dyDescent="0.15">
      <c r="A3336" t="s">
        <v>3309</v>
      </c>
      <c r="B3336" t="str">
        <f>HYPERLINK("ぜ/ぜん　善笑　1669　鍼灸枢要　山本玄通.jpg")</f>
        <v>ぜ/ぜん　善笑　1669　鍼灸枢要　山本玄通.jpg</v>
      </c>
    </row>
    <row r="3337" spans="1:2" x14ac:dyDescent="0.15">
      <c r="A3337" t="s">
        <v>3310</v>
      </c>
      <c r="B3337" t="str">
        <f>HYPERLINK("ぜ/ぜん　善笑　1800　鍼灸備要　小坂元祐.jpg")</f>
        <v>ぜ/ぜん　善笑　1800　鍼灸備要　小坂元祐.jpg</v>
      </c>
    </row>
    <row r="3338" spans="1:2" x14ac:dyDescent="0.15">
      <c r="A3338" t="s">
        <v>3311</v>
      </c>
      <c r="B3338" t="str">
        <f>HYPERLINK("ぜ/ぜん　喘　1220　鍼灸資生経　王執中_ページ_1.jpg")</f>
        <v>ぜ/ぜん　喘　1220　鍼灸資生経　王執中_ページ_1.jpg</v>
      </c>
    </row>
    <row r="3339" spans="1:2" x14ac:dyDescent="0.15">
      <c r="A3339" t="s">
        <v>3312</v>
      </c>
      <c r="B3339" t="str">
        <f>HYPERLINK("ぜ/ぜん　喘　1220　鍼灸資生経　王執中_ページ_2.jpg")</f>
        <v>ぜ/ぜん　喘　1220　鍼灸資生経　王執中_ページ_2.jpg</v>
      </c>
    </row>
    <row r="3340" spans="1:2" x14ac:dyDescent="0.15">
      <c r="A3340" t="s">
        <v>3313</v>
      </c>
      <c r="B3340" t="str">
        <f>HYPERLINK("ぜ/ぜん　喘　1220　鍼灸資生経　王執中_ページ_3.jpg")</f>
        <v>ぜ/ぜん　喘　1220　鍼灸資生経　王執中_ページ_3.jpg</v>
      </c>
    </row>
    <row r="3341" spans="1:2" x14ac:dyDescent="0.15">
      <c r="A3341" t="s">
        <v>3314</v>
      </c>
      <c r="B3341" t="str">
        <f>HYPERLINK("ぜ/ぜん　喘　1329　扁鵲神応鍼灸玉龍経　元・王国瑞_ページ_1.jpg")</f>
        <v>ぜ/ぜん　喘　1329　扁鵲神応鍼灸玉龍経　元・王国瑞_ページ_1.jpg</v>
      </c>
    </row>
    <row r="3342" spans="1:2" x14ac:dyDescent="0.15">
      <c r="A3342" t="s">
        <v>3315</v>
      </c>
      <c r="B3342" t="str">
        <f>HYPERLINK("ぜ/ぜん　喘　1329　扁鵲神応鍼灸玉龍経　元・王国瑞_ページ_2.jpg")</f>
        <v>ぜ/ぜん　喘　1329　扁鵲神応鍼灸玉龍経　元・王国瑞_ページ_2.jpg</v>
      </c>
    </row>
    <row r="3343" spans="1:2" x14ac:dyDescent="0.15">
      <c r="A3343" t="s">
        <v>3316</v>
      </c>
      <c r="B3343" t="str">
        <f>HYPERLINK("ぜ/ぜん　喘　1537　鍼灸聚英　明・高武.jpg")</f>
        <v>ぜ/ぜん　喘　1537　鍼灸聚英　明・高武.jpg</v>
      </c>
    </row>
    <row r="3344" spans="1:2" x14ac:dyDescent="0.15">
      <c r="A3344" t="s">
        <v>3317</v>
      </c>
      <c r="B3344" t="str">
        <f>HYPERLINK("ぜ/ぜん　喘　1594　鍼灸集要　曲直瀬道三_ページ_1.jpg")</f>
        <v>ぜ/ぜん　喘　1594　鍼灸集要　曲直瀬道三_ページ_1.jpg</v>
      </c>
    </row>
    <row r="3345" spans="1:2" x14ac:dyDescent="0.15">
      <c r="A3345" t="s">
        <v>3318</v>
      </c>
      <c r="B3345" t="str">
        <f>HYPERLINK("ぜ/ぜん　喘　1594　鍼灸集要　曲直瀬道三_ページ_2.jpg")</f>
        <v>ぜ/ぜん　喘　1594　鍼灸集要　曲直瀬道三_ページ_2.jpg</v>
      </c>
    </row>
    <row r="3346" spans="1:2" x14ac:dyDescent="0.15">
      <c r="A3346" t="s">
        <v>3319</v>
      </c>
      <c r="B3346" t="str">
        <f>HYPERLINK("ぜ/ぜん　喘　1800　鍼灸備要　小坂元祐_ページ_1.jpg")</f>
        <v>ぜ/ぜん　喘　1800　鍼灸備要　小坂元祐_ページ_1.jpg</v>
      </c>
    </row>
    <row r="3347" spans="1:2" x14ac:dyDescent="0.15">
      <c r="A3347" t="s">
        <v>3320</v>
      </c>
      <c r="B3347" t="str">
        <f>HYPERLINK("ぜ/ぜん　喘　1800　鍼灸備要　小坂元祐_ページ_2.jpg")</f>
        <v>ぜ/ぜん　喘　1800　鍼灸備要　小坂元祐_ページ_2.jpg</v>
      </c>
    </row>
    <row r="3348" spans="1:2" x14ac:dyDescent="0.15">
      <c r="A3348" t="s">
        <v>3321</v>
      </c>
      <c r="B3348" t="str">
        <f>HYPERLINK("ぜ/ぜん　喘　附 吼喘　1669　鍼灸枢要　山本玄通_ページ_1.jpg")</f>
        <v>ぜ/ぜん　喘　附 吼喘　1669　鍼灸枢要　山本玄通_ページ_1.jpg</v>
      </c>
    </row>
    <row r="3349" spans="1:2" x14ac:dyDescent="0.15">
      <c r="A3349" t="s">
        <v>3322</v>
      </c>
      <c r="B3349" t="str">
        <f>HYPERLINK("ぜ/ぜん　喘　附 吼喘　1669　鍼灸枢要　山本玄通_ページ_2.jpg")</f>
        <v>ぜ/ぜん　喘　附 吼喘　1669　鍼灸枢要　山本玄通_ページ_2.jpg</v>
      </c>
    </row>
    <row r="3350" spans="1:2" x14ac:dyDescent="0.15">
      <c r="A3350" t="s">
        <v>3323</v>
      </c>
      <c r="B3350" t="str">
        <f>HYPERLINK("ぜ/ぜん　喘　附 吼喘　1669　鍼灸枢要　山本玄通_ページ_3.jpg")</f>
        <v>ぜ/ぜん　喘　附 吼喘　1669　鍼灸枢要　山本玄通_ページ_3.jpg</v>
      </c>
    </row>
    <row r="3351" spans="1:2" x14ac:dyDescent="0.15">
      <c r="A3351" t="s">
        <v>3324</v>
      </c>
      <c r="B3351" t="str">
        <f>HYPERLINK("ぜ/ぜん　喘　附 吼喘　1669　鍼灸枢要　山本玄通_ページ_4.jpg")</f>
        <v>ぜ/ぜん　喘　附 吼喘　1669　鍼灸枢要　山本玄通_ページ_4.jpg</v>
      </c>
    </row>
    <row r="3352" spans="1:2" x14ac:dyDescent="0.15">
      <c r="A3352" t="s">
        <v>3325</v>
      </c>
      <c r="B3352" t="str">
        <f>HYPERLINK("ぜ/ぜん　喘　附 吼喘　1669　鍼灸枢要　山本玄通_ページ_5.jpg")</f>
        <v>ぜ/ぜん　喘　附 吼喘　1669　鍼灸枢要　山本玄通_ページ_5.jpg</v>
      </c>
    </row>
    <row r="3353" spans="1:2" x14ac:dyDescent="0.15">
      <c r="A3353" t="s">
        <v>3326</v>
      </c>
      <c r="B3353" t="str">
        <f>HYPERLINK("ぜ/ぜん　喘　附 吼喘　1669　鍼灸枢要　山本玄通_ページ_6.jpg")</f>
        <v>ぜ/ぜん　喘　附 吼喘　1669　鍼灸枢要　山本玄通_ページ_6.jpg</v>
      </c>
    </row>
    <row r="3354" spans="1:2" x14ac:dyDescent="0.15">
      <c r="A3354" t="s">
        <v>3327</v>
      </c>
      <c r="B3354" t="str">
        <f>HYPERLINK("ぜ/ぜん　喘　附 吼喘　1669　鍼灸枢要　山本玄通_ページ_7.jpg")</f>
        <v>ぜ/ぜん　喘　附 吼喘　1669　鍼灸枢要　山本玄通_ページ_7.jpg</v>
      </c>
    </row>
    <row r="3355" spans="1:2" x14ac:dyDescent="0.15">
      <c r="A3355" t="s">
        <v>3328</v>
      </c>
      <c r="B3355" t="str">
        <f>HYPERLINK("ぜ/ぜん　喘促　ぜり、すたき　1718　鍼灸重宝記　本郷正豊.jpg")</f>
        <v>ぜ/ぜん　喘促　ぜり、すたき　1718　鍼灸重宝記　本郷正豊.jpg</v>
      </c>
    </row>
    <row r="3356" spans="1:2" x14ac:dyDescent="0.15">
      <c r="A3356" t="s">
        <v>3329</v>
      </c>
      <c r="B3356" t="str">
        <f>HYPERLINK("ぜ/ぜん　喘促　急迫　ぜんそく、かたにていきする人　1780　鍼灸極秘伝　木村太沖.jpg")</f>
        <v>ぜ/ぜん　喘促　急迫　ぜんそく、かたにていきする人　1780　鍼灸極秘伝　木村太沖.jpg</v>
      </c>
    </row>
    <row r="3357" spans="1:2" x14ac:dyDescent="0.15">
      <c r="A3357" t="s">
        <v>3330</v>
      </c>
      <c r="B3357" t="str">
        <f>HYPERLINK("ぜ/ぜん　喘急　1680　鍼灸抜萃　著者未詳.jpg")</f>
        <v>ぜ/ぜん　喘急　1680　鍼灸抜萃　著者未詳.jpg</v>
      </c>
    </row>
    <row r="3358" spans="1:2" x14ac:dyDescent="0.15">
      <c r="A3358" t="s">
        <v>3331</v>
      </c>
      <c r="B3358" t="str">
        <f>HYPERLINK("ぜ/ぜん　喘急　1693　鍼灸要歌集　安井昌玄_ページ_1.jpg")</f>
        <v>ぜ/ぜん　喘急　1693　鍼灸要歌集　安井昌玄_ページ_1.jpg</v>
      </c>
    </row>
    <row r="3359" spans="1:2" x14ac:dyDescent="0.15">
      <c r="A3359" t="s">
        <v>3332</v>
      </c>
      <c r="B3359" t="str">
        <f>HYPERLINK("ぜ/ぜん　喘急　1693　鍼灸要歌集　安井昌玄_ページ_2.jpg")</f>
        <v>ぜ/ぜん　喘急　1693　鍼灸要歌集　安井昌玄_ページ_2.jpg</v>
      </c>
    </row>
    <row r="3360" spans="1:2" x14ac:dyDescent="0.15">
      <c r="A3360" t="s">
        <v>3333</v>
      </c>
      <c r="B3360" t="str">
        <f>HYPERLINK("ぜ/ぜん　喘急　1694　鍼灸そかい集　高津敬節_ページ_1.jpg")</f>
        <v>ぜ/ぜん　喘急　1694　鍼灸そかい集　高津敬節_ページ_1.jpg</v>
      </c>
    </row>
    <row r="3361" spans="1:2" x14ac:dyDescent="0.15">
      <c r="A3361" t="s">
        <v>3334</v>
      </c>
      <c r="B3361" t="str">
        <f>HYPERLINK("ぜ/ぜん　喘急　1694　鍼灸そかい集　高津敬節_ページ_2.jpg")</f>
        <v>ぜ/ぜん　喘急　1694　鍼灸そかい集　高津敬節_ページ_2.jpg</v>
      </c>
    </row>
    <row r="3362" spans="1:2" x14ac:dyDescent="0.15">
      <c r="A3362" t="s">
        <v>3335</v>
      </c>
      <c r="B3362" t="str">
        <f>HYPERLINK("ぜ/ぜん　喘急　1696　広益鍼灸抜萃　著者未詳_ページ_1.jpg")</f>
        <v>ぜ/ぜん　喘急　1696　広益鍼灸抜萃　著者未詳_ページ_1.jpg</v>
      </c>
    </row>
    <row r="3363" spans="1:2" x14ac:dyDescent="0.15">
      <c r="A3363" t="s">
        <v>3336</v>
      </c>
      <c r="B3363" t="str">
        <f>HYPERLINK("ぜ/ぜん　喘急　1696　広益鍼灸抜萃　著者未詳_ページ_2.jpg")</f>
        <v>ぜ/ぜん　喘急　1696　広益鍼灸抜萃　著者未詳_ページ_2.jpg</v>
      </c>
    </row>
    <row r="3364" spans="1:2" x14ac:dyDescent="0.15">
      <c r="A3364" t="s">
        <v>3337</v>
      </c>
      <c r="B3364" t="str">
        <f>HYPERLINK("ぜ/ぜん　喘急　1696　広益鍼灸抜萃　著者未詳_ページ_3.jpg")</f>
        <v>ぜ/ぜん　喘急　1696　広益鍼灸抜萃　著者未詳_ページ_3.jpg</v>
      </c>
    </row>
    <row r="3365" spans="1:2" x14ac:dyDescent="0.15">
      <c r="A3365" t="s">
        <v>3338</v>
      </c>
      <c r="B3365" t="str">
        <f>HYPERLINK("ぜ/ぜん　喘急　1758　灸ぜつ塩土伝　三宅意安_ページ_1.jpg")</f>
        <v>ぜ/ぜん　喘急　1758　灸ぜつ塩土伝　三宅意安_ページ_1.jpg</v>
      </c>
    </row>
    <row r="3366" spans="1:2" x14ac:dyDescent="0.15">
      <c r="A3366" t="s">
        <v>3339</v>
      </c>
      <c r="B3366" t="str">
        <f>HYPERLINK("ぜ/ぜん　喘急　1758　灸ぜつ塩土伝　三宅意安_ページ_2.jpg")</f>
        <v>ぜ/ぜん　喘急　1758　灸ぜつ塩土伝　三宅意安_ページ_2.jpg</v>
      </c>
    </row>
    <row r="3367" spans="1:2" x14ac:dyDescent="0.15">
      <c r="A3367" t="s">
        <v>3340</v>
      </c>
      <c r="B3367" t="str">
        <f>HYPERLINK("ぜ/ぜん　喘急　1767　鍼灸則　菅沼周桂_ページ_1.jpg")</f>
        <v>ぜ/ぜん　喘急　1767　鍼灸則　菅沼周桂_ページ_1.jpg</v>
      </c>
    </row>
    <row r="3368" spans="1:2" x14ac:dyDescent="0.15">
      <c r="A3368" t="s">
        <v>3341</v>
      </c>
      <c r="B3368" t="str">
        <f>HYPERLINK("ぜ/ぜん　喘急　1767　鍼灸則　菅沼周桂_ページ_2.jpg")</f>
        <v>ぜ/ぜん　喘急　1767　鍼灸則　菅沼周桂_ページ_2.jpg</v>
      </c>
    </row>
    <row r="3369" spans="1:2" x14ac:dyDescent="0.15">
      <c r="A3369" t="s">
        <v>3342</v>
      </c>
      <c r="B3369" t="str">
        <f>HYPERLINK("ぜ/ぜん　喘急　1773　鍼灸手引草　大簡室主人_ページ_1.jpg")</f>
        <v>ぜ/ぜん　喘急　1773　鍼灸手引草　大簡室主人_ページ_1.jpg</v>
      </c>
    </row>
    <row r="3370" spans="1:2" x14ac:dyDescent="0.15">
      <c r="A3370" t="s">
        <v>3343</v>
      </c>
      <c r="B3370" t="str">
        <f>HYPERLINK("ぜ/ぜん　喘急　1773　鍼灸手引草　大簡室主人_ページ_2.jpg")</f>
        <v>ぜ/ぜん　喘急　1773　鍼灸手引草　大簡室主人_ページ_2.jpg</v>
      </c>
    </row>
    <row r="3371" spans="1:2" x14ac:dyDescent="0.15">
      <c r="A3371" t="s">
        <v>3344</v>
      </c>
      <c r="B3371" t="str">
        <f>HYPERLINK("ぜ/ぜん　喘急　1792　鍼法要集　源長起_ページ_1.jpg")</f>
        <v>ぜ/ぜん　喘急　1792　鍼法要集　源長起_ページ_1.jpg</v>
      </c>
    </row>
    <row r="3372" spans="1:2" x14ac:dyDescent="0.15">
      <c r="A3372" t="s">
        <v>3345</v>
      </c>
      <c r="B3372" t="str">
        <f>HYPERLINK("ぜ/ぜん　喘急　1792　鍼法要集　源長起_ページ_2.jpg")</f>
        <v>ぜ/ぜん　喘急　1792　鍼法要集　源長起_ページ_2.jpg</v>
      </c>
    </row>
    <row r="3373" spans="1:2" x14ac:dyDescent="0.15">
      <c r="A3373" t="s">
        <v>3346</v>
      </c>
      <c r="B3373" t="str">
        <f>HYPERLINK("ぜ/ぜん　喘急　喘息なり　1694　療治之大概集　杉山和一.jpg")</f>
        <v>ぜ/ぜん　喘急　喘息なり　1694　療治之大概集　杉山和一.jpg</v>
      </c>
    </row>
    <row r="3374" spans="1:2" x14ac:dyDescent="0.15">
      <c r="A3374" t="s">
        <v>3347</v>
      </c>
      <c r="B3374" t="str">
        <f>HYPERLINK("ぜ/ぜん　喘急　成書年未詳　灸穴集　著者未詳_ページ_01.jpg")</f>
        <v>ぜ/ぜん　喘急　成書年未詳　灸穴集　著者未詳_ページ_01.jpg</v>
      </c>
    </row>
    <row r="3375" spans="1:2" x14ac:dyDescent="0.15">
      <c r="A3375" t="s">
        <v>3348</v>
      </c>
      <c r="B3375" t="str">
        <f>HYPERLINK("ぜ/ぜん　喘急　成書年未詳　灸穴集　著者未詳_ページ_02.jpg")</f>
        <v>ぜ/ぜん　喘急　成書年未詳　灸穴集　著者未詳_ページ_02.jpg</v>
      </c>
    </row>
    <row r="3376" spans="1:2" x14ac:dyDescent="0.15">
      <c r="A3376" t="s">
        <v>3349</v>
      </c>
      <c r="B3376" t="str">
        <f>HYPERLINK("ぜ/ぜん　喘急　成書年未詳　灸穴集　著者未詳_ページ_03.jpg")</f>
        <v>ぜ/ぜん　喘急　成書年未詳　灸穴集　著者未詳_ページ_03.jpg</v>
      </c>
    </row>
    <row r="3377" spans="1:2" x14ac:dyDescent="0.15">
      <c r="A3377" t="s">
        <v>3350</v>
      </c>
      <c r="B3377" t="str">
        <f>HYPERLINK("ぜ/ぜん　喘急　成書年未詳　灸穴集　著者未詳_ページ_04.jpg")</f>
        <v>ぜ/ぜん　喘急　成書年未詳　灸穴集　著者未詳_ページ_04.jpg</v>
      </c>
    </row>
    <row r="3378" spans="1:2" x14ac:dyDescent="0.15">
      <c r="A3378" t="s">
        <v>3351</v>
      </c>
      <c r="B3378" t="str">
        <f>HYPERLINK("ぜ/ぜん　喘急　成書年未詳　灸穴集　著者未詳_ページ_05.jpg")</f>
        <v>ぜ/ぜん　喘急　成書年未詳　灸穴集　著者未詳_ページ_05.jpg</v>
      </c>
    </row>
    <row r="3379" spans="1:2" x14ac:dyDescent="0.15">
      <c r="A3379" t="s">
        <v>3352</v>
      </c>
      <c r="B3379" t="str">
        <f>HYPERLINK("ぜ/ぜん　喘急　成書年未詳　灸穴集　著者未詳_ページ_06.jpg")</f>
        <v>ぜ/ぜん　喘急　成書年未詳　灸穴集　著者未詳_ページ_06.jpg</v>
      </c>
    </row>
    <row r="3380" spans="1:2" x14ac:dyDescent="0.15">
      <c r="A3380" t="s">
        <v>3353</v>
      </c>
      <c r="B3380" t="str">
        <f>HYPERLINK("ぜ/ぜん　喘急　成書年未詳　灸穴集　著者未詳_ページ_07.jpg")</f>
        <v>ぜ/ぜん　喘急　成書年未詳　灸穴集　著者未詳_ページ_07.jpg</v>
      </c>
    </row>
    <row r="3381" spans="1:2" x14ac:dyDescent="0.15">
      <c r="A3381" t="s">
        <v>3354</v>
      </c>
      <c r="B3381" t="str">
        <f>HYPERLINK("ぜ/ぜん　喘急　成書年未詳　灸穴集　著者未詳_ページ_08.jpg")</f>
        <v>ぜ/ぜん　喘急　成書年未詳　灸穴集　著者未詳_ページ_08.jpg</v>
      </c>
    </row>
    <row r="3382" spans="1:2" x14ac:dyDescent="0.15">
      <c r="A3382" t="s">
        <v>3355</v>
      </c>
      <c r="B3382" t="str">
        <f>HYPERLINK("ぜ/ぜん　喘急　成書年未詳　灸穴集　著者未詳_ページ_09.jpg")</f>
        <v>ぜ/ぜん　喘急　成書年未詳　灸穴集　著者未詳_ページ_09.jpg</v>
      </c>
    </row>
    <row r="3383" spans="1:2" x14ac:dyDescent="0.15">
      <c r="A3383" t="s">
        <v>3356</v>
      </c>
      <c r="B3383" t="str">
        <f>HYPERLINK("ぜ/ぜん　喘急　成書年未詳　灸穴集　著者未詳_ページ_10.jpg")</f>
        <v>ぜ/ぜん　喘急　成書年未詳　灸穴集　著者未詳_ページ_10.jpg</v>
      </c>
    </row>
    <row r="3384" spans="1:2" x14ac:dyDescent="0.15">
      <c r="A3384" t="s">
        <v>3357</v>
      </c>
      <c r="B3384" t="str">
        <f>HYPERLINK("ぜ/ぜん　喘急咳嗽　1813　名家灸選　浅井惟亨_ページ_1.jpg")</f>
        <v>ぜ/ぜん　喘急咳嗽　1813　名家灸選　浅井惟亨_ページ_1.jpg</v>
      </c>
    </row>
    <row r="3385" spans="1:2" x14ac:dyDescent="0.15">
      <c r="A3385" t="s">
        <v>3358</v>
      </c>
      <c r="B3385" t="str">
        <f>HYPERLINK("ぜ/ぜん　喘急咳嗽　1813　名家灸選　浅井惟亨_ページ_2.jpg")</f>
        <v>ぜ/ぜん　喘急咳嗽　1813　名家灸選　浅井惟亨_ページ_2.jpg</v>
      </c>
    </row>
    <row r="3386" spans="1:2" x14ac:dyDescent="0.15">
      <c r="A3386" t="s">
        <v>3359</v>
      </c>
      <c r="B3386" t="str">
        <f>HYPERLINK("ぜ/ぜん　喘急咳嗽　1813　名家灸選　浅井惟亨_ページ_3.jpg")</f>
        <v>ぜ/ぜん　喘急咳嗽　1813　名家灸選　浅井惟亨_ページ_3.jpg</v>
      </c>
    </row>
    <row r="3387" spans="1:2" x14ac:dyDescent="0.15">
      <c r="A3387" t="s">
        <v>3360</v>
      </c>
      <c r="B3387" t="str">
        <f>HYPERLINK("ぜ/ぜん　喘急妙灸　1594　経脈方寸秘書　曲直瀬道三.jpg")</f>
        <v>ぜ/ぜん　喘急妙灸　1594　経脈方寸秘書　曲直瀬道三.jpg</v>
      </c>
    </row>
    <row r="3388" spans="1:2" x14ac:dyDescent="0.15">
      <c r="A3388" t="s">
        <v>3361</v>
      </c>
      <c r="B3388" t="str">
        <f>HYPERLINK("ぜ/ぜん　喘息-02　1758　灸ぜつ塩土伝　三宅意安_ページ_1.jpg")</f>
        <v>ぜ/ぜん　喘息-02　1758　灸ぜつ塩土伝　三宅意安_ページ_1.jpg</v>
      </c>
    </row>
    <row r="3389" spans="1:2" x14ac:dyDescent="0.15">
      <c r="A3389" t="s">
        <v>3362</v>
      </c>
      <c r="B3389" t="str">
        <f>HYPERLINK("ぜ/ぜん　喘息-02　1758　灸ぜつ塩土伝　三宅意安_ページ_2.jpg")</f>
        <v>ぜ/ぜん　喘息-02　1758　灸ぜつ塩土伝　三宅意安_ページ_2.jpg</v>
      </c>
    </row>
    <row r="3390" spans="1:2" x14ac:dyDescent="0.15">
      <c r="A3390" t="s">
        <v>3363</v>
      </c>
      <c r="B3390" t="str">
        <f>HYPERLINK("ぜ/ぜん　喘息　1574　兪穴参伍的法　秦宗巴.jpg")</f>
        <v>ぜ/ぜん　喘息　1574　兪穴参伍的法　秦宗巴.jpg</v>
      </c>
    </row>
    <row r="3391" spans="1:2" x14ac:dyDescent="0.15">
      <c r="A3391" t="s">
        <v>3364</v>
      </c>
      <c r="B3391" t="str">
        <f>HYPERLINK("ぜ/ぜん　喘息　1607　扁鵲新流鍼書　越齋寿閑.jpg")</f>
        <v>ぜ/ぜん　喘息　1607　扁鵲新流鍼書　越齋寿閑.jpg</v>
      </c>
    </row>
    <row r="3392" spans="1:2" x14ac:dyDescent="0.15">
      <c r="A3392" t="s">
        <v>3365</v>
      </c>
      <c r="B3392" t="str">
        <f>HYPERLINK("ぜ/ぜん　喘息　1679　鍼法奇貨　渡辺東伯_ページ_1.jpg")</f>
        <v>ぜ/ぜん　喘息　1679　鍼法奇貨　渡辺東伯_ページ_1.jpg</v>
      </c>
    </row>
    <row r="3393" spans="1:2" x14ac:dyDescent="0.15">
      <c r="A3393" t="s">
        <v>3366</v>
      </c>
      <c r="B3393" t="str">
        <f>HYPERLINK("ぜ/ぜん　喘息　1679　鍼法奇貨　渡辺東伯_ページ_2.jpg")</f>
        <v>ぜ/ぜん　喘息　1679　鍼法奇貨　渡辺東伯_ページ_2.jpg</v>
      </c>
    </row>
    <row r="3394" spans="1:2" x14ac:dyDescent="0.15">
      <c r="A3394" t="s">
        <v>3367</v>
      </c>
      <c r="B3394" t="str">
        <f>HYPERLINK("ぜ/ぜん　喘息　1679　鍼法奇貨　渡辺東伯_ページ_3.jpg")</f>
        <v>ぜ/ぜん　喘息　1679　鍼法奇貨　渡辺東伯_ページ_3.jpg</v>
      </c>
    </row>
    <row r="3395" spans="1:2" x14ac:dyDescent="0.15">
      <c r="A3395" t="s">
        <v>3368</v>
      </c>
      <c r="B3395" t="str">
        <f>HYPERLINK("ぜ/ぜん　喘息　1679　鍼法奇貨　渡辺東伯_ページ_4.jpg")</f>
        <v>ぜ/ぜん　喘息　1679　鍼法奇貨　渡辺東伯_ページ_4.jpg</v>
      </c>
    </row>
    <row r="3396" spans="1:2" x14ac:dyDescent="0.15">
      <c r="A3396" t="s">
        <v>3369</v>
      </c>
      <c r="B3396" t="str">
        <f>HYPERLINK("ぜ/ぜん　喘息　1679　鍼法奇貨　渡辺東伯_ページ_5.jpg")</f>
        <v>ぜ/ぜん　喘息　1679　鍼法奇貨　渡辺東伯_ページ_5.jpg</v>
      </c>
    </row>
    <row r="3397" spans="1:2" x14ac:dyDescent="0.15">
      <c r="A3397" t="s">
        <v>3370</v>
      </c>
      <c r="B3397" t="str">
        <f>HYPERLINK("ぜ/ぜん　喘息　1694　諸喘息　選鍼三要集　杉山和一.jpg")</f>
        <v>ぜ/ぜん　喘息　1694　諸喘息　選鍼三要集　杉山和一.jpg</v>
      </c>
    </row>
    <row r="3398" spans="1:2" x14ac:dyDescent="0.15">
      <c r="A3398" t="s">
        <v>3371</v>
      </c>
      <c r="B3398" t="str">
        <f>HYPERLINK("ぜ/ぜん　喘息　1698　鍼灸抜粋大成　岡本一抱.jpg")</f>
        <v>ぜ/ぜん　喘息　1698　鍼灸抜粋大成　岡本一抱.jpg</v>
      </c>
    </row>
    <row r="3399" spans="1:2" x14ac:dyDescent="0.15">
      <c r="A3399" t="s">
        <v>3372</v>
      </c>
      <c r="B3399" t="str">
        <f>HYPERLINK("ぜ/ぜん　喘息　1758　喘息奇兪　灸ぜつ塩土伝　三宅意安.jpg")</f>
        <v>ぜ/ぜん　喘息　1758　喘息奇兪　灸ぜつ塩土伝　三宅意安.jpg</v>
      </c>
    </row>
    <row r="3400" spans="1:2" x14ac:dyDescent="0.15">
      <c r="A3400" t="s">
        <v>3373</v>
      </c>
      <c r="B3400" t="str">
        <f>HYPERLINK("ぜ/ぜん　喘息　1758　灸ぜつ塩土伝　三宅意安_ページ_1.jpg")</f>
        <v>ぜ/ぜん　喘息　1758　灸ぜつ塩土伝　三宅意安_ページ_1.jpg</v>
      </c>
    </row>
    <row r="3401" spans="1:2" x14ac:dyDescent="0.15">
      <c r="A3401" t="s">
        <v>3374</v>
      </c>
      <c r="B3401" t="str">
        <f>HYPERLINK("ぜ/ぜん　喘息　1758　灸ぜつ塩土伝　三宅意安_ページ_2.jpg")</f>
        <v>ぜ/ぜん　喘息　1758　灸ぜつ塩土伝　三宅意安_ページ_2.jpg</v>
      </c>
    </row>
    <row r="3402" spans="1:2" x14ac:dyDescent="0.15">
      <c r="A3402" t="s">
        <v>3375</v>
      </c>
      <c r="B3402" t="str">
        <f>HYPERLINK("ぜ/ぜん　喘息　1758　灸ぜつ塩土伝　三宅意安_ページ_3.jpg")</f>
        <v>ぜ/ぜん　喘息　1758　灸ぜつ塩土伝　三宅意安_ページ_3.jpg</v>
      </c>
    </row>
    <row r="3403" spans="1:2" x14ac:dyDescent="0.15">
      <c r="A3403" t="s">
        <v>3376</v>
      </c>
      <c r="B3403" t="str">
        <f>HYPERLINK("ぜ/ぜん　喘息　1794　杉山流鍼術　島浦和田一_ページ_1.jpg")</f>
        <v>ぜ/ぜん　喘息　1794　杉山流鍼術　島浦和田一_ページ_1.jpg</v>
      </c>
    </row>
    <row r="3404" spans="1:2" x14ac:dyDescent="0.15">
      <c r="A3404" t="s">
        <v>3377</v>
      </c>
      <c r="B3404" t="str">
        <f>HYPERLINK("ぜ/ぜん　喘息　1794　杉山流鍼術　島浦和田一_ページ_2.jpg")</f>
        <v>ぜ/ぜん　喘息　1794　杉山流鍼術　島浦和田一_ページ_2.jpg</v>
      </c>
    </row>
    <row r="3405" spans="1:2" x14ac:dyDescent="0.15">
      <c r="A3405" t="s">
        <v>3378</v>
      </c>
      <c r="B3405" t="str">
        <f>HYPERLINK("ぜ/ぜん　喘息　1912年（大正01）　鍼灸手引草　久木田七郎_ページ_1.jpg")</f>
        <v>ぜ/ぜん　喘息　1912年（大正01）　鍼灸手引草　久木田七郎_ページ_1.jpg</v>
      </c>
    </row>
    <row r="3406" spans="1:2" x14ac:dyDescent="0.15">
      <c r="A3406" t="s">
        <v>3379</v>
      </c>
      <c r="B3406" t="str">
        <f>HYPERLINK("ぜ/ぜん　喘息　1912年（大正01）　鍼灸手引草　久木田七郎_ページ_2.jpg")</f>
        <v>ぜ/ぜん　喘息　1912年（大正01）　鍼灸手引草　久木田七郎_ページ_2.jpg</v>
      </c>
    </row>
    <row r="3407" spans="1:2" x14ac:dyDescent="0.15">
      <c r="A3407" t="s">
        <v>3380</v>
      </c>
      <c r="B3407" t="str">
        <f>HYPERLINK("ぜ/ぜん　喘息　成書年未詳　経穴図解　著者未詳.jpg")</f>
        <v>ぜ/ぜん　喘息　成書年未詳　経穴図解　著者未詳.jpg</v>
      </c>
    </row>
    <row r="3408" spans="1:2" x14ac:dyDescent="0.15">
      <c r="A3408" t="s">
        <v>3381</v>
      </c>
      <c r="B3408" t="str">
        <f>HYPERLINK("ぜ/ぜん　喘息妙　1758　灸ぜつ塩土伝　三宅意安_ページ_1.jpg")</f>
        <v>ぜ/ぜん　喘息妙　1758　灸ぜつ塩土伝　三宅意安_ページ_1.jpg</v>
      </c>
    </row>
    <row r="3409" spans="1:2" x14ac:dyDescent="0.15">
      <c r="A3409" t="s">
        <v>3382</v>
      </c>
      <c r="B3409" t="str">
        <f>HYPERLINK("ぜ/ぜん　喘息妙　1758　灸ぜつ塩土伝　三宅意安_ページ_2.jpg")</f>
        <v>ぜ/ぜん　喘息妙　1758　灸ぜつ塩土伝　三宅意安_ページ_2.jpg</v>
      </c>
    </row>
    <row r="3410" spans="1:2" x14ac:dyDescent="0.15">
      <c r="A3410" t="s">
        <v>3383</v>
      </c>
      <c r="B3410" t="str">
        <f>HYPERLINK("そ/そう　そう理　1220　鍼灸資生経　王執中.jpg")</f>
        <v>そ/そう　そう理　1220　鍼灸資生経　王執中.jpg</v>
      </c>
    </row>
    <row r="3411" spans="1:2" x14ac:dyDescent="0.15">
      <c r="A3411" t="s">
        <v>3384</v>
      </c>
      <c r="B3411" t="str">
        <f>HYPERLINK("そ/そう　そう雑　1669　鍼灸枢要　山本玄通.jpg")</f>
        <v>そ/そう　そう雑　1669　鍼灸枢要　山本玄通.jpg</v>
      </c>
    </row>
    <row r="3412" spans="1:2" x14ac:dyDescent="0.15">
      <c r="A3412" t="s">
        <v>3385</v>
      </c>
      <c r="B3412" t="str">
        <f>HYPERLINK("そ/そう　そう雑　1767　鍼灸則　菅沼周桂.jpg")</f>
        <v>そ/そう　そう雑　1767　鍼灸則　菅沼周桂.jpg</v>
      </c>
    </row>
    <row r="3413" spans="1:2" x14ac:dyDescent="0.15">
      <c r="A3413" t="s">
        <v>3386</v>
      </c>
      <c r="B3413" t="str">
        <f>HYPERLINK("そ/そう　そう雑　1792　鍼法要集　源長起.jpg")</f>
        <v>そ/そう　そう雑　1792　鍼法要集　源長起.jpg</v>
      </c>
    </row>
    <row r="3414" spans="1:2" x14ac:dyDescent="0.15">
      <c r="A3414" t="s">
        <v>3387</v>
      </c>
      <c r="B3414" t="str">
        <f>HYPERLINK("そ/そう　創身半以上者　1765　鍼法弁惑　藤井秀孟.jpg")</f>
        <v>そ/そう　創身半以上者　1765　鍼法弁惑　藤井秀孟.jpg</v>
      </c>
    </row>
    <row r="3415" spans="1:2" x14ac:dyDescent="0.15">
      <c r="A3415" t="s">
        <v>3388</v>
      </c>
      <c r="B3415" t="str">
        <f>HYPERLINK("そ/そう　創身半以下者　1765　鍼法弁惑　藤井秀孟.jpg")</f>
        <v>そ/そう　創身半以下者　1765　鍼法弁惑　藤井秀孟.jpg</v>
      </c>
    </row>
    <row r="3416" spans="1:2" x14ac:dyDescent="0.15">
      <c r="A3416" t="s">
        <v>3389</v>
      </c>
      <c r="B3416" t="str">
        <f>HYPERLINK("そ/そう　早瘡　はやくさとて大切の症なり　1780　鍼灸極秘伝　木村太沖.jpg")</f>
        <v>そ/そう　早瘡　はやくさとて大切の症なり　1780　鍼灸極秘伝　木村太沖.jpg</v>
      </c>
    </row>
    <row r="3417" spans="1:2" x14ac:dyDescent="0.15">
      <c r="A3417" t="s">
        <v>3390</v>
      </c>
      <c r="B3417" t="str">
        <f>HYPERLINK("そ/そう　瘡　1758　大人小児頭面瘡　灸ぜつ塩土伝　三宅意安_ページ_1.jpg")</f>
        <v>そ/そう　瘡　1758　大人小児頭面瘡　灸ぜつ塩土伝　三宅意安_ページ_1.jpg</v>
      </c>
    </row>
    <row r="3418" spans="1:2" x14ac:dyDescent="0.15">
      <c r="A3418" t="s">
        <v>3391</v>
      </c>
      <c r="B3418" t="str">
        <f>HYPERLINK("そ/そう　瘡　1758　大人小児頭面瘡　灸ぜつ塩土伝　三宅意安_ページ_2.jpg")</f>
        <v>そ/そう　瘡　1758　大人小児頭面瘡　灸ぜつ塩土伝　三宅意安_ページ_2.jpg</v>
      </c>
    </row>
    <row r="3419" spans="1:2" x14ac:dyDescent="0.15">
      <c r="A3419" t="s">
        <v>3392</v>
      </c>
      <c r="B3419" t="str">
        <f>HYPERLINK("そ/そう　瘡　玉機微義針灸証治　1537　鍼灸聚英　明・高武_ページ_1.jpg")</f>
        <v>そ/そう　瘡　玉機微義針灸証治　1537　鍼灸聚英　明・高武_ページ_1.jpg</v>
      </c>
    </row>
    <row r="3420" spans="1:2" x14ac:dyDescent="0.15">
      <c r="A3420" t="s">
        <v>3393</v>
      </c>
      <c r="B3420" t="str">
        <f>HYPERLINK("そ/そう　瘡　玉機微義針灸証治　1537　鍼灸聚英　明・高武_ページ_2.jpg")</f>
        <v>そ/そう　瘡　玉機微義針灸証治　1537　鍼灸聚英　明・高武_ページ_2.jpg</v>
      </c>
    </row>
    <row r="3421" spans="1:2" x14ac:dyDescent="0.15">
      <c r="A3421" t="s">
        <v>3394</v>
      </c>
      <c r="B3421" t="str">
        <f>HYPERLINK("そ/そう　瘡　玉機微義針灸証治　1537　鍼灸聚英　明・高武_ページ_3.jpg")</f>
        <v>そ/そう　瘡　玉機微義針灸証治　1537　鍼灸聚英　明・高武_ページ_3.jpg</v>
      </c>
    </row>
    <row r="3422" spans="1:2" x14ac:dyDescent="0.15">
      <c r="A3422" t="s">
        <v>3395</v>
      </c>
      <c r="B3422" t="str">
        <f>HYPERLINK("そ/そう　瘡　玉機微義針灸証治　1537　鍼灸聚英　明・高武_ページ_4.jpg")</f>
        <v>そ/そう　瘡　玉機微義針灸証治　1537　鍼灸聚英　明・高武_ページ_4.jpg</v>
      </c>
    </row>
    <row r="3423" spans="1:2" x14ac:dyDescent="0.15">
      <c r="A3423" t="s">
        <v>3396</v>
      </c>
      <c r="B3423" t="str">
        <f>HYPERLINK("そ/そう　瘡毒部　1425　神応経　明・陳会撰・劉瑾重校_ページ_1.jpg")</f>
        <v>そ/そう　瘡毒部　1425　神応経　明・陳会撰・劉瑾重校_ページ_1.jpg</v>
      </c>
    </row>
    <row r="3424" spans="1:2" x14ac:dyDescent="0.15">
      <c r="A3424" t="s">
        <v>3397</v>
      </c>
      <c r="B3424" t="str">
        <f>HYPERLINK("そ/そう　瘡毒部　1425　神応経　明・陳会撰・劉瑾重校_ページ_2.jpg")</f>
        <v>そ/そう　瘡毒部　1425　神応経　明・陳会撰・劉瑾重校_ページ_2.jpg</v>
      </c>
    </row>
    <row r="3425" spans="1:2" x14ac:dyDescent="0.15">
      <c r="A3425" t="s">
        <v>3398</v>
      </c>
      <c r="B3425" t="str">
        <f>HYPERLINK("そ/そう　瘡疥　成書年未詳　灸穴集　著者未詳_ページ_1.jpg")</f>
        <v>そ/そう　瘡疥　成書年未詳　灸穴集　著者未詳_ページ_1.jpg</v>
      </c>
    </row>
    <row r="3426" spans="1:2" x14ac:dyDescent="0.15">
      <c r="A3426" t="s">
        <v>3399</v>
      </c>
      <c r="B3426" t="str">
        <f>HYPERLINK("そ/そう　瘡疥　成書年未詳　灸穴集　著者未詳_ページ_2.jpg")</f>
        <v>そ/そう　瘡疥　成書年未詳　灸穴集　著者未詳_ページ_2.jpg</v>
      </c>
    </row>
    <row r="3427" spans="1:2" x14ac:dyDescent="0.15">
      <c r="A3427" t="s">
        <v>3400</v>
      </c>
      <c r="B3427" t="str">
        <f>HYPERLINK("そ/そう　瘡疥　成書年未詳　灸穴集　著者未詳_ページ_3.jpg")</f>
        <v>そ/そう　瘡疥　成書年未詳　灸穴集　著者未詳_ページ_3.jpg</v>
      </c>
    </row>
    <row r="3428" spans="1:2" x14ac:dyDescent="0.15">
      <c r="A3428" t="s">
        <v>3401</v>
      </c>
      <c r="B3428" t="str">
        <f>HYPERLINK("そ/そう　瘡疥　成書年未詳　灸穴集　著者未詳_ページ_4.jpg")</f>
        <v>そ/そう　瘡疥　成書年未詳　灸穴集　著者未詳_ページ_4.jpg</v>
      </c>
    </row>
    <row r="3429" spans="1:2" x14ac:dyDescent="0.15">
      <c r="A3429" t="s">
        <v>3402</v>
      </c>
      <c r="B3429" t="str">
        <f>HYPERLINK("そ/そう　瘡瘍　1537　鍼灸聚英　明・高武.jpg")</f>
        <v>そ/そう　瘡瘍　1537　鍼灸聚英　明・高武.jpg</v>
      </c>
    </row>
    <row r="3430" spans="1:2" x14ac:dyDescent="0.15">
      <c r="A3430" t="s">
        <v>3403</v>
      </c>
      <c r="B3430" t="str">
        <f>HYPERLINK("そ/そう　瘡瘍　1694　鍼灸そかい集　高津敬節.jpg")</f>
        <v>そ/そう　瘡瘍　1694　鍼灸そかい集　高津敬節.jpg</v>
      </c>
    </row>
    <row r="3431" spans="1:2" x14ac:dyDescent="0.15">
      <c r="A3431" t="s">
        <v>3404</v>
      </c>
      <c r="B3431" t="str">
        <f>HYPERLINK("そ/そう　瘡瘍　1698　鍼灸抜粋大成　岡本一抱_ページ_1.jpg")</f>
        <v>そ/そう　瘡瘍　1698　鍼灸抜粋大成　岡本一抱_ページ_1.jpg</v>
      </c>
    </row>
    <row r="3432" spans="1:2" x14ac:dyDescent="0.15">
      <c r="A3432" t="s">
        <v>3405</v>
      </c>
      <c r="B3432" t="str">
        <f>HYPERLINK("そ/そう　瘡瘍　1698　鍼灸抜粋大成　岡本一抱_ページ_2.jpg")</f>
        <v>そ/そう　瘡瘍　1698　鍼灸抜粋大成　岡本一抱_ページ_2.jpg</v>
      </c>
    </row>
    <row r="3433" spans="1:2" x14ac:dyDescent="0.15">
      <c r="A3433" t="s">
        <v>3406</v>
      </c>
      <c r="B3433" t="str">
        <f>HYPERLINK("そ/そう　瘡瘍　1807　続名家灸選　平井庸信_ページ_1.jpg")</f>
        <v>そ/そう　瘡瘍　1807　続名家灸選　平井庸信_ページ_1.jpg</v>
      </c>
    </row>
    <row r="3434" spans="1:2" x14ac:dyDescent="0.15">
      <c r="A3434" t="s">
        <v>3407</v>
      </c>
      <c r="B3434" t="str">
        <f>HYPERLINK("そ/そう　瘡瘍　1807　続名家灸選　平井庸信_ページ_2.jpg")</f>
        <v>そ/そう　瘡瘍　1807　続名家灸選　平井庸信_ページ_2.jpg</v>
      </c>
    </row>
    <row r="3435" spans="1:2" x14ac:dyDescent="0.15">
      <c r="A3435" t="s">
        <v>3408</v>
      </c>
      <c r="B3435" t="str">
        <f>HYPERLINK("そ/そう　瘡瘍　1807　続名家灸選　平井庸信_ページ_3.jpg")</f>
        <v>そ/そう　瘡瘍　1807　続名家灸選　平井庸信_ページ_3.jpg</v>
      </c>
    </row>
    <row r="3436" spans="1:2" x14ac:dyDescent="0.15">
      <c r="A3436" t="s">
        <v>3409</v>
      </c>
      <c r="B3436" t="str">
        <f>HYPERLINK("そ/そう　瘡瘍　1813　名家灸選　浅井惟亨_ページ_1.jpg")</f>
        <v>そ/そう　瘡瘍　1813　名家灸選　浅井惟亨_ページ_1.jpg</v>
      </c>
    </row>
    <row r="3437" spans="1:2" x14ac:dyDescent="0.15">
      <c r="A3437" t="s">
        <v>3410</v>
      </c>
      <c r="B3437" t="str">
        <f>HYPERLINK("そ/そう　瘡瘍　1813　名家灸選　浅井惟亨_ページ_2.jpg")</f>
        <v>そ/そう　瘡瘍　1813　名家灸選　浅井惟亨_ページ_2.jpg</v>
      </c>
    </row>
    <row r="3438" spans="1:2" x14ac:dyDescent="0.15">
      <c r="A3438" t="s">
        <v>3411</v>
      </c>
      <c r="B3438" t="str">
        <f>HYPERLINK("そ/そう　瘡瘍　1813　名家灸選　浅井惟亨_ページ_3.jpg")</f>
        <v>そ/そう　瘡瘍　1813　名家灸選　浅井惟亨_ページ_3.jpg</v>
      </c>
    </row>
    <row r="3439" spans="1:2" x14ac:dyDescent="0.15">
      <c r="A3439" t="s">
        <v>3412</v>
      </c>
      <c r="B3439" t="str">
        <f>HYPERLINK("そ/そう　瘡瘍　1813　名家灸選　浅井惟亨_ページ_4.jpg")</f>
        <v>そ/そう　瘡瘍　1813　名家灸選　浅井惟亨_ページ_4.jpg</v>
      </c>
    </row>
    <row r="3440" spans="1:2" x14ac:dyDescent="0.15">
      <c r="A3440" t="s">
        <v>3413</v>
      </c>
      <c r="B3440" t="str">
        <f>HYPERLINK("そ/そう　瘡瘍　1813　名家灸選三編　平井庸信_ページ_1.jpg")</f>
        <v>そ/そう　瘡瘍　1813　名家灸選三編　平井庸信_ページ_1.jpg</v>
      </c>
    </row>
    <row r="3441" spans="1:2" x14ac:dyDescent="0.15">
      <c r="A3441" t="s">
        <v>3414</v>
      </c>
      <c r="B3441" t="str">
        <f>HYPERLINK("そ/そう　瘡瘍　1813　名家灸選三編　平井庸信_ページ_2.jpg")</f>
        <v>そ/そう　瘡瘍　1813　名家灸選三編　平井庸信_ページ_2.jpg</v>
      </c>
    </row>
    <row r="3442" spans="1:2" x14ac:dyDescent="0.15">
      <c r="A3442" t="s">
        <v>3415</v>
      </c>
      <c r="B3442" t="str">
        <f>HYPERLINK("そ/そう　瘡瘍　1813　名家灸選三編　平井庸信_ページ_3.jpg")</f>
        <v>そ/そう　瘡瘍　1813　名家灸選三編　平井庸信_ページ_3.jpg</v>
      </c>
    </row>
    <row r="3443" spans="1:2" x14ac:dyDescent="0.15">
      <c r="A3443" t="s">
        <v>3416</v>
      </c>
      <c r="B3443" t="str">
        <f>HYPERLINK("そ/そう　瘡瘍　1813　名家灸選三編　平井庸信_ページ_4.jpg")</f>
        <v>そ/そう　瘡瘍　1813　名家灸選三編　平井庸信_ページ_4.jpg</v>
      </c>
    </row>
    <row r="3444" spans="1:2" x14ac:dyDescent="0.15">
      <c r="A3444" t="s">
        <v>3417</v>
      </c>
      <c r="B3444" t="str">
        <f>HYPERLINK("そ/そう　瘡瘍　1813　名家灸選三編　平井庸信_ページ_5.jpg")</f>
        <v>そ/そう　瘡瘍　1813　名家灸選三編　平井庸信_ページ_5.jpg</v>
      </c>
    </row>
    <row r="3445" spans="1:2" x14ac:dyDescent="0.15">
      <c r="A3445" t="s">
        <v>3418</v>
      </c>
      <c r="B3445" t="str">
        <f>HYPERLINK("そ/そう　瘡腫、雁瘡、諸瘡之事　1780　鍼灸極秘伝　木村太沖.jpg")</f>
        <v>そ/そう　瘡腫、雁瘡、諸瘡之事　1780　鍼灸極秘伝　木村太沖.jpg</v>
      </c>
    </row>
    <row r="3446" spans="1:2" x14ac:dyDescent="0.15">
      <c r="A3446" t="s">
        <v>3419</v>
      </c>
      <c r="B3446" t="str">
        <f>HYPERLINK("そ/そう　諸瘡　1537　鍼灸聚英　明・高武.jpg")</f>
        <v>そ/そう　諸瘡　1537　鍼灸聚英　明・高武.jpg</v>
      </c>
    </row>
    <row r="3447" spans="1:2" x14ac:dyDescent="0.15">
      <c r="A3447" t="s">
        <v>3420</v>
      </c>
      <c r="B3447" t="str">
        <f>HYPERLINK("そ/そう　諸瘡　1537　鍼灸聚英　明・高武_ページ_1.jpg")</f>
        <v>そ/そう　諸瘡　1537　鍼灸聚英　明・高武_ページ_1.jpg</v>
      </c>
    </row>
    <row r="3448" spans="1:2" x14ac:dyDescent="0.15">
      <c r="A3448" t="s">
        <v>3421</v>
      </c>
      <c r="B3448" t="str">
        <f>HYPERLINK("そ/そう　諸瘡　1537　鍼灸聚英　明・高武_ページ_2.jpg")</f>
        <v>そ/そう　諸瘡　1537　鍼灸聚英　明・高武_ページ_2.jpg</v>
      </c>
    </row>
    <row r="3449" spans="1:2" x14ac:dyDescent="0.15">
      <c r="A3449" t="s">
        <v>3422</v>
      </c>
      <c r="B3449" t="str">
        <f>HYPERLINK("そ/そう　諸瘡三体奇兪　1703　鍼灸阿是要穴　岡本一抱_ページ_1.jpg")</f>
        <v>そ/そう　諸瘡三体奇兪　1703　鍼灸阿是要穴　岡本一抱_ページ_1.jpg</v>
      </c>
    </row>
    <row r="3450" spans="1:2" x14ac:dyDescent="0.15">
      <c r="A3450" t="s">
        <v>3423</v>
      </c>
      <c r="B3450" t="str">
        <f>HYPERLINK("そ/そう　諸瘡三体奇兪　1703　鍼灸阿是要穴　岡本一抱_ページ_2.jpg")</f>
        <v>そ/そう　諸瘡三体奇兪　1703　鍼灸阿是要穴　岡本一抱_ページ_2.jpg</v>
      </c>
    </row>
    <row r="3451" spans="1:2" x14ac:dyDescent="0.15">
      <c r="A3451" t="s">
        <v>3424</v>
      </c>
      <c r="B3451" t="str">
        <f>HYPERLINK("そ/そう　諸瘡三体奇兪　1758　灸ぜつ塩土伝　三宅意安_ページ_1.jpg")</f>
        <v>そ/そう　諸瘡三体奇兪　1758　灸ぜつ塩土伝　三宅意安_ページ_1.jpg</v>
      </c>
    </row>
    <row r="3452" spans="1:2" x14ac:dyDescent="0.15">
      <c r="A3452" t="s">
        <v>3425</v>
      </c>
      <c r="B3452" t="str">
        <f>HYPERLINK("そ/そう　諸瘡三体奇兪　1758　灸ぜつ塩土伝　三宅意安_ページ_2.jpg")</f>
        <v>そ/そう　諸瘡三体奇兪　1758　灸ぜつ塩土伝　三宅意安_ページ_2.jpg</v>
      </c>
    </row>
    <row r="3453" spans="1:2" x14ac:dyDescent="0.15">
      <c r="A3453" t="s">
        <v>3426</v>
      </c>
      <c r="B3453" t="str">
        <f>HYPERLINK("そ/そう　諸瘡三体奇兪　1758　灸ぜつ塩土伝　三宅意安_ページ_3.jpg")</f>
        <v>そ/そう　諸瘡三体奇兪　1758　灸ぜつ塩土伝　三宅意安_ページ_3.jpg</v>
      </c>
    </row>
    <row r="3454" spans="1:2" x14ac:dyDescent="0.15">
      <c r="A3454" t="s">
        <v>3427</v>
      </c>
      <c r="B3454" t="str">
        <f>HYPERLINK("そ/そう　諸瘡三体奇兪　1758　灸ぜつ塩土伝　三宅意安_ページ_4.jpg")</f>
        <v>そ/そう　諸瘡三体奇兪　1758　灸ぜつ塩土伝　三宅意安_ページ_4.jpg</v>
      </c>
    </row>
    <row r="3455" spans="1:2" x14ac:dyDescent="0.15">
      <c r="A3455" t="s">
        <v>3428</v>
      </c>
      <c r="B3455" t="str">
        <f>HYPERLINK("そ/そう　諸瘡八処　1758　灸ぜつ塩土伝　三宅意安_ページ_1.jpg")</f>
        <v>そ/そう　諸瘡八処　1758　灸ぜつ塩土伝　三宅意安_ページ_1.jpg</v>
      </c>
    </row>
    <row r="3456" spans="1:2" x14ac:dyDescent="0.15">
      <c r="A3456" t="s">
        <v>3429</v>
      </c>
      <c r="B3456" t="str">
        <f>HYPERLINK("そ/そう　諸瘡八処　1758　灸ぜつ塩土伝　三宅意安_ページ_2.jpg")</f>
        <v>そ/そう　諸瘡八処　1758　灸ぜつ塩土伝　三宅意安_ページ_2.jpg</v>
      </c>
    </row>
    <row r="3457" spans="1:2" x14ac:dyDescent="0.15">
      <c r="A3457" t="s">
        <v>3430</v>
      </c>
      <c r="B3457" t="str">
        <f>HYPERLINK("そ/そう　諸瘡八処　1758　灸ぜつ塩土伝　三宅意安_ページ_3.jpg")</f>
        <v>そ/そう　諸瘡八処　1758　灸ぜつ塩土伝　三宅意安_ページ_3.jpg</v>
      </c>
    </row>
    <row r="3458" spans="1:2" x14ac:dyDescent="0.15">
      <c r="A3458" t="s">
        <v>3431</v>
      </c>
      <c r="B3458" t="str">
        <f>HYPERLINK("そ/そう　諸瘡八処　1758　灸ぜつ塩土伝　三宅意安_ページ_4.jpg")</f>
        <v>そ/そう　諸瘡八処　1758　灸ぜつ塩土伝　三宅意安_ページ_4.jpg</v>
      </c>
    </row>
    <row r="3459" spans="1:2" x14ac:dyDescent="0.15">
      <c r="A3459" t="s">
        <v>3432</v>
      </c>
      <c r="B3459" t="str">
        <f>HYPERLINK("そ/そう　走馬下疳　1686　鍼灸要法指南　岩田利斎.jpg")</f>
        <v>そ/そう　走馬下疳　1686　鍼灸要法指南　岩田利斎.jpg</v>
      </c>
    </row>
    <row r="3460" spans="1:2" x14ac:dyDescent="0.15">
      <c r="A3460" t="s">
        <v>3433</v>
      </c>
      <c r="B3460" t="str">
        <f>HYPERLINK("そ/そう　走馬下疳妙灸　1594　経脈方寸秘書　曲直瀬道三.jpg")</f>
        <v>そ/そう　走馬下疳妙灸　1594　経脈方寸秘書　曲直瀬道三.jpg</v>
      </c>
    </row>
    <row r="3461" spans="1:2" x14ac:dyDescent="0.15">
      <c r="A3461" t="s">
        <v>3434</v>
      </c>
      <c r="B3461" t="str">
        <f>HYPERLINK("そ/そく　息肉　1765　鍼法弁惑　藤井秀孟_ページ_1.jpg")</f>
        <v>そ/そく　息肉　1765　鍼法弁惑　藤井秀孟_ページ_1.jpg</v>
      </c>
    </row>
    <row r="3462" spans="1:2" x14ac:dyDescent="0.15">
      <c r="A3462" t="s">
        <v>3435</v>
      </c>
      <c r="B3462" t="str">
        <f>HYPERLINK("そ/そく　息肉　1765　鍼法弁惑　藤井秀孟_ページ_2.jpg")</f>
        <v>そ/そく　息肉　1765　鍼法弁惑　藤井秀孟_ページ_2.jpg</v>
      </c>
    </row>
    <row r="3463" spans="1:2" x14ac:dyDescent="0.15">
      <c r="A3463" t="s">
        <v>3436</v>
      </c>
      <c r="B3463" t="str">
        <f>HYPERLINK("そ/そく　息胞　いなひかえる　胞衣不下　1887（明治20）　鍼灸備要　青山道醇.jpg")</f>
        <v>そ/そく　息胞　いなひかえる　胞衣不下　1887（明治20）　鍼灸備要　青山道醇.jpg</v>
      </c>
    </row>
    <row r="3464" spans="1:2" x14ac:dyDescent="0.15">
      <c r="A3464" t="s">
        <v>3437</v>
      </c>
      <c r="B3464" t="str">
        <f>HYPERLINK("そ/そく　足　1800　鍼灸備要　小坂元祐_ページ_1.jpg")</f>
        <v>そ/そく　足　1800　鍼灸備要　小坂元祐_ページ_1.jpg</v>
      </c>
    </row>
    <row r="3465" spans="1:2" x14ac:dyDescent="0.15">
      <c r="A3465" t="s">
        <v>3438</v>
      </c>
      <c r="B3465" t="str">
        <f>HYPERLINK("そ/そく　足　1800　鍼灸備要　小坂元祐_ページ_2.jpg")</f>
        <v>そ/そく　足　1800　鍼灸備要　小坂元祐_ページ_2.jpg</v>
      </c>
    </row>
    <row r="3466" spans="1:2" x14ac:dyDescent="0.15">
      <c r="A3466" t="s">
        <v>3439</v>
      </c>
      <c r="B3466" t="str">
        <f>HYPERLINK("そ/そく　足　1800　鍼灸備要　小坂元祐_ページ_3.jpg")</f>
        <v>そ/そく　足　1800　鍼灸備要　小坂元祐_ページ_3.jpg</v>
      </c>
    </row>
    <row r="3467" spans="1:2" x14ac:dyDescent="0.15">
      <c r="A3467" t="s">
        <v>3440</v>
      </c>
      <c r="B3467" t="str">
        <f>HYPERLINK("そ/そく　足　1800　鍼灸備要　小坂元祐_ページ_4.jpg")</f>
        <v>そ/そく　足　1800　鍼灸備要　小坂元祐_ページ_4.jpg</v>
      </c>
    </row>
    <row r="3468" spans="1:2" x14ac:dyDescent="0.15">
      <c r="A3468" t="s">
        <v>3441</v>
      </c>
      <c r="B3468" t="str">
        <f>HYPERLINK("そ/そく　足　脚気　膝痛　1669　鍼灸枢要　山本玄通_ページ_01.jpg")</f>
        <v>そ/そく　足　脚気　膝痛　1669　鍼灸枢要　山本玄通_ページ_01.jpg</v>
      </c>
    </row>
    <row r="3469" spans="1:2" x14ac:dyDescent="0.15">
      <c r="A3469" t="s">
        <v>3442</v>
      </c>
      <c r="B3469" t="str">
        <f>HYPERLINK("そ/そく　足　脚気　膝痛　1669　鍼灸枢要　山本玄通_ページ_02.jpg")</f>
        <v>そ/そく　足　脚気　膝痛　1669　鍼灸枢要　山本玄通_ページ_02.jpg</v>
      </c>
    </row>
    <row r="3470" spans="1:2" x14ac:dyDescent="0.15">
      <c r="A3470" t="s">
        <v>3443</v>
      </c>
      <c r="B3470" t="str">
        <f>HYPERLINK("そ/そく　足　脚気　膝痛　1669　鍼灸枢要　山本玄通_ページ_03.jpg")</f>
        <v>そ/そく　足　脚気　膝痛　1669　鍼灸枢要　山本玄通_ページ_03.jpg</v>
      </c>
    </row>
    <row r="3471" spans="1:2" x14ac:dyDescent="0.15">
      <c r="A3471" t="s">
        <v>3444</v>
      </c>
      <c r="B3471" t="str">
        <f>HYPERLINK("そ/そく　足　脚気　膝痛　1669　鍼灸枢要　山本玄通_ページ_04.jpg")</f>
        <v>そ/そく　足　脚気　膝痛　1669　鍼灸枢要　山本玄通_ページ_04.jpg</v>
      </c>
    </row>
    <row r="3472" spans="1:2" x14ac:dyDescent="0.15">
      <c r="A3472" t="s">
        <v>3445</v>
      </c>
      <c r="B3472" t="str">
        <f>HYPERLINK("そ/そく　足　脚気　膝痛　1669　鍼灸枢要　山本玄通_ページ_05.jpg")</f>
        <v>そ/そく　足　脚気　膝痛　1669　鍼灸枢要　山本玄通_ページ_05.jpg</v>
      </c>
    </row>
    <row r="3473" spans="1:2" x14ac:dyDescent="0.15">
      <c r="A3473" t="s">
        <v>3446</v>
      </c>
      <c r="B3473" t="str">
        <f>HYPERLINK("そ/そく　足　脚気　膝痛　1669　鍼灸枢要　山本玄通_ページ_06.jpg")</f>
        <v>そ/そく　足　脚気　膝痛　1669　鍼灸枢要　山本玄通_ページ_06.jpg</v>
      </c>
    </row>
    <row r="3474" spans="1:2" x14ac:dyDescent="0.15">
      <c r="A3474" t="s">
        <v>3447</v>
      </c>
      <c r="B3474" t="str">
        <f>HYPERLINK("そ/そく　足　脚気　膝痛　1669　鍼灸枢要　山本玄通_ページ_07.jpg")</f>
        <v>そ/そく　足　脚気　膝痛　1669　鍼灸枢要　山本玄通_ページ_07.jpg</v>
      </c>
    </row>
    <row r="3475" spans="1:2" x14ac:dyDescent="0.15">
      <c r="A3475" t="s">
        <v>3448</v>
      </c>
      <c r="B3475" t="str">
        <f>HYPERLINK("そ/そく　足　脚気　膝痛　1669　鍼灸枢要　山本玄通_ページ_08.jpg")</f>
        <v>そ/そく　足　脚気　膝痛　1669　鍼灸枢要　山本玄通_ページ_08.jpg</v>
      </c>
    </row>
    <row r="3476" spans="1:2" x14ac:dyDescent="0.15">
      <c r="A3476" t="s">
        <v>3449</v>
      </c>
      <c r="B3476" t="str">
        <f>HYPERLINK("そ/そく　足　脚気　膝痛　1669　鍼灸枢要　山本玄通_ページ_09.jpg")</f>
        <v>そ/そく　足　脚気　膝痛　1669　鍼灸枢要　山本玄通_ページ_09.jpg</v>
      </c>
    </row>
    <row r="3477" spans="1:2" x14ac:dyDescent="0.15">
      <c r="A3477" t="s">
        <v>3450</v>
      </c>
      <c r="B3477" t="str">
        <f>HYPERLINK("そ/そく　足　脚気　膝痛　1669　鍼灸枢要　山本玄通_ページ_10.jpg")</f>
        <v>そ/そく　足　脚気　膝痛　1669　鍼灸枢要　山本玄通_ページ_10.jpg</v>
      </c>
    </row>
    <row r="3478" spans="1:2" x14ac:dyDescent="0.15">
      <c r="A3478" t="s">
        <v>3451</v>
      </c>
      <c r="B3478" t="str">
        <f>HYPERLINK("そ/そく　足　脚気　膝痛　1669　鍼灸枢要　山本玄通_ページ_11.jpg")</f>
        <v>そ/そく　足　脚気　膝痛　1669　鍼灸枢要　山本玄通_ページ_11.jpg</v>
      </c>
    </row>
    <row r="3479" spans="1:2" x14ac:dyDescent="0.15">
      <c r="A3479" t="s">
        <v>3452</v>
      </c>
      <c r="B3479" t="str">
        <f>HYPERLINK("そ/そく　足　脚気　膝痛　1669　鍼灸枢要　山本玄通_ページ_12.jpg")</f>
        <v>そ/そく　足　脚気　膝痛　1669　鍼灸枢要　山本玄通_ページ_12.jpg</v>
      </c>
    </row>
    <row r="3480" spans="1:2" x14ac:dyDescent="0.15">
      <c r="A3480" t="s">
        <v>3453</v>
      </c>
      <c r="B3480" t="str">
        <f>HYPERLINK("そ/そく　足　脚気　膝痛　1669　鍼灸枢要　山本玄通_ページ_13.jpg")</f>
        <v>そ/そく　足　脚気　膝痛　1669　鍼灸枢要　山本玄通_ページ_13.jpg</v>
      </c>
    </row>
    <row r="3481" spans="1:2" x14ac:dyDescent="0.15">
      <c r="A3481" t="s">
        <v>3454</v>
      </c>
      <c r="B3481" t="str">
        <f>HYPERLINK("そ/そく　足　脚気　膝痛　1669　鍼灸枢要　山本玄通_ページ_14.jpg")</f>
        <v>そ/そく　足　脚気　膝痛　1669　鍼灸枢要　山本玄通_ページ_14.jpg</v>
      </c>
    </row>
    <row r="3482" spans="1:2" x14ac:dyDescent="0.15">
      <c r="A3482" t="s">
        <v>3455</v>
      </c>
      <c r="B3482" t="str">
        <f>HYPERLINK("そ/そく　足しゅう　1299　続添要穴集　惟宗時俊.jpg")</f>
        <v>そ/そく　足しゅう　1299　続添要穴集　惟宗時俊.jpg</v>
      </c>
    </row>
    <row r="3483" spans="1:2" x14ac:dyDescent="0.15">
      <c r="A3483" t="s">
        <v>3456</v>
      </c>
      <c r="B3483" t="str">
        <f>HYPERLINK("そ/そく　足の冷え又は熱する病　1912年（大正01）　鍼灸手引草　久木田七郎.jpg")</f>
        <v>そ/そく　足の冷え又は熱する病　1912年（大正01）　鍼灸手引草　久木田七郎.jpg</v>
      </c>
    </row>
    <row r="3484" spans="1:2" x14ac:dyDescent="0.15">
      <c r="A3484" t="s">
        <v>3457</v>
      </c>
      <c r="B3484" t="str">
        <f>HYPERLINK("そ/そく　足の冷え又は熱する病　1912年（大正01）　鍼灸手引草　久木田七郎_ページ_1.jpg")</f>
        <v>そ/そく　足の冷え又は熱する病　1912年（大正01）　鍼灸手引草　久木田七郎_ページ_1.jpg</v>
      </c>
    </row>
    <row r="3485" spans="1:2" x14ac:dyDescent="0.15">
      <c r="A3485" t="s">
        <v>3458</v>
      </c>
      <c r="B3485" t="str">
        <f>HYPERLINK("そ/そく　足の冷え又は熱する病　1912年（大正01）　鍼灸手引草　久木田七郎_ページ_2.jpg")</f>
        <v>そ/そく　足の冷え又は熱する病　1912年（大正01）　鍼灸手引草　久木田七郎_ページ_2.jpg</v>
      </c>
    </row>
    <row r="3486" spans="1:2" x14ac:dyDescent="0.15">
      <c r="A3486" t="s">
        <v>3459</v>
      </c>
      <c r="B3486" t="str">
        <f>HYPERLINK("そ/そく　足下熱　1299　続添要穴集　惟宗時俊.jpg")</f>
        <v>そ/そく　足下熱　1299　続添要穴集　惟宗時俊.jpg</v>
      </c>
    </row>
    <row r="3487" spans="1:2" x14ac:dyDescent="0.15">
      <c r="A3487" t="s">
        <v>3460</v>
      </c>
      <c r="B3487" t="str">
        <f>HYPERLINK("そ/そく　足不能行　1220　鍼灸資生経　王執中_ページ_1.jpg")</f>
        <v>そ/そく　足不能行　1220　鍼灸資生経　王執中_ページ_1.jpg</v>
      </c>
    </row>
    <row r="3488" spans="1:2" x14ac:dyDescent="0.15">
      <c r="A3488" t="s">
        <v>3461</v>
      </c>
      <c r="B3488" t="str">
        <f>HYPERLINK("そ/そく　足不能行　1220　鍼灸資生経　王執中_ページ_2.jpg")</f>
        <v>そ/そく　足不能行　1220　鍼灸資生経　王執中_ページ_2.jpg</v>
      </c>
    </row>
    <row r="3489" spans="1:2" x14ac:dyDescent="0.15">
      <c r="A3489" t="s">
        <v>3462</v>
      </c>
      <c r="B3489" t="str">
        <f>HYPERLINK("そ/そく　足之病　1792　鍼法要集　源長起.jpg")</f>
        <v>そ/そく　足之病　1792　鍼法要集　源長起.jpg</v>
      </c>
    </row>
    <row r="3490" spans="1:2" x14ac:dyDescent="0.15">
      <c r="A3490" t="s">
        <v>3463</v>
      </c>
      <c r="B3490" t="str">
        <f>HYPERLINK("そ/そく　足寒　1299　続添要穴集　惟宗時俊.jpg")</f>
        <v>そ/そく　足寒　1299　続添要穴集　惟宗時俊.jpg</v>
      </c>
    </row>
    <row r="3491" spans="1:2" x14ac:dyDescent="0.15">
      <c r="A3491" t="s">
        <v>3464</v>
      </c>
      <c r="B3491" t="str">
        <f>HYPERLINK("そ/そく　足寒熱　1220　鍼灸資生経　王執中.jpg")</f>
        <v>そ/そく　足寒熱　1220　鍼灸資生経　王執中.jpg</v>
      </c>
    </row>
    <row r="3492" spans="1:2" x14ac:dyDescent="0.15">
      <c r="A3492" t="s">
        <v>3465</v>
      </c>
      <c r="B3492" t="str">
        <f>HYPERLINK("そ/そく　足後節痛針穴　1613　古今集鍼法　長生庵了味か.jpg")</f>
        <v>そ/そく　足後節痛針穴　1613　古今集鍼法　長生庵了味か.jpg</v>
      </c>
    </row>
    <row r="3493" spans="1:2" x14ac:dyDescent="0.15">
      <c r="A3493" t="s">
        <v>3466</v>
      </c>
      <c r="B3493" t="str">
        <f>HYPERLINK("そ/そく　足痛　1767　鍼灸則　菅沼周桂.jpg")</f>
        <v>そ/そく　足痛　1767　鍼灸則　菅沼周桂.jpg</v>
      </c>
    </row>
    <row r="3494" spans="1:2" x14ac:dyDescent="0.15">
      <c r="A3494" t="s">
        <v>3467</v>
      </c>
      <c r="B3494" t="str">
        <f>HYPERLINK("そ/そく　足雑病　1220　鍼灸資生経　王執中_ページ_1.jpg")</f>
        <v>そ/そく　足雑病　1220　鍼灸資生経　王執中_ページ_1.jpg</v>
      </c>
    </row>
    <row r="3495" spans="1:2" x14ac:dyDescent="0.15">
      <c r="A3495" t="s">
        <v>3468</v>
      </c>
      <c r="B3495" t="str">
        <f>HYPERLINK("そ/そく　足雑病　1220　鍼灸資生経　王執中_ページ_2.jpg")</f>
        <v>そ/そく　足雑病　1220　鍼灸資生経　王執中_ページ_2.jpg</v>
      </c>
    </row>
    <row r="3496" spans="1:2" x14ac:dyDescent="0.15">
      <c r="A3496" t="s">
        <v>3469</v>
      </c>
      <c r="B3496" t="str">
        <f>HYPERLINK("そ/そく　足麻　不仁　1220　鍼灸資生経　王執中.jpg")</f>
        <v>そ/そく　足麻　不仁　1220　鍼灸資生経　王執中.jpg</v>
      </c>
    </row>
    <row r="3497" spans="1:2" x14ac:dyDescent="0.15">
      <c r="A3497" t="s">
        <v>3470</v>
      </c>
      <c r="B3497" t="str">
        <f>HYPERLINK("そ/そく　足麻痺歩行不能　1912年（大正01）　鍼灸手引草　久木田七郎.jpg")</f>
        <v>そ/そく　足麻痺歩行不能　1912年（大正01）　鍼灸手引草　久木田七郎.jpg</v>
      </c>
    </row>
    <row r="3498" spans="1:2" x14ac:dyDescent="0.15">
      <c r="A3498" t="s">
        <v>3471</v>
      </c>
      <c r="B3498" t="str">
        <f>HYPERLINK("そ/そつ　卒中風　1807　続名家灸選　平井庸信_ページ_1.jpg")</f>
        <v>そ/そつ　卒中風　1807　続名家灸選　平井庸信_ページ_1.jpg</v>
      </c>
    </row>
    <row r="3499" spans="1:2" x14ac:dyDescent="0.15">
      <c r="A3499" t="s">
        <v>3472</v>
      </c>
      <c r="B3499" t="str">
        <f>HYPERLINK("そ/そつ　卒中風　1807　続名家灸選　平井庸信_ページ_2.jpg")</f>
        <v>そ/そつ　卒中風　1807　続名家灸選　平井庸信_ページ_2.jpg</v>
      </c>
    </row>
    <row r="3500" spans="1:2" x14ac:dyDescent="0.15">
      <c r="A3500" t="s">
        <v>3473</v>
      </c>
      <c r="B3500" t="str">
        <f>HYPERLINK("そ/そつ　卒中風、人事を知らず、牙関緊急す　そっちゅう風、正体なく、はをくいしめたる人　1780　鍼灸極秘伝　木村太沖.jpg")</f>
        <v>そ/そつ　卒中風、人事を知らず、牙関緊急す　そっちゅう風、正体なく、はをくいしめたる人　1780　鍼灸極秘伝　木村太沖.jpg</v>
      </c>
    </row>
    <row r="3501" spans="1:2" x14ac:dyDescent="0.15">
      <c r="A3501" t="s">
        <v>3474</v>
      </c>
      <c r="B3501" t="str">
        <f>HYPERLINK("そ/そつ　卒中風（そつちうふ）　そつちう　全発卒中　1887（明治20）　鍼灸備要　青山道醇_ページ_1.jpg")</f>
        <v>そ/そつ　卒中風（そつちうふ）　そつちう　全発卒中　1887（明治20）　鍼灸備要　青山道醇_ページ_1.jpg</v>
      </c>
    </row>
    <row r="3502" spans="1:2" x14ac:dyDescent="0.15">
      <c r="A3502" t="s">
        <v>3475</v>
      </c>
      <c r="B3502" t="str">
        <f>HYPERLINK("そ/そつ　卒中風（そつちうふ）　そつちう　全発卒中　1887（明治20）　鍼灸備要　青山道醇_ページ_2.jpg")</f>
        <v>そ/そつ　卒中風（そつちうふ）　そつちう　全発卒中　1887（明治20）　鍼灸備要　青山道醇_ページ_2.jpg</v>
      </c>
    </row>
    <row r="3503" spans="1:2" x14ac:dyDescent="0.15">
      <c r="A3503" t="s">
        <v>3476</v>
      </c>
      <c r="B3503" t="str">
        <f>HYPERLINK("そ/そつ　卒厥　青筋　中悪　1807　続名家灸選　平井庸信_ページ_1.jpg")</f>
        <v>そ/そつ　卒厥　青筋　中悪　1807　続名家灸選　平井庸信_ページ_1.jpg</v>
      </c>
    </row>
    <row r="3504" spans="1:2" x14ac:dyDescent="0.15">
      <c r="A3504" t="s">
        <v>3477</v>
      </c>
      <c r="B3504" t="str">
        <f>HYPERLINK("そ/そつ　卒厥　青筋　中悪　1807　続名家灸選　平井庸信_ページ_2.jpg")</f>
        <v>そ/そつ　卒厥　青筋　中悪　1807　続名家灸選　平井庸信_ページ_2.jpg</v>
      </c>
    </row>
    <row r="3505" spans="1:2" x14ac:dyDescent="0.15">
      <c r="A3505" t="s">
        <v>3478</v>
      </c>
      <c r="B3505" t="str">
        <f>HYPERLINK("そ/そつ　卒厥　青筋　中悪　1807　続名家灸選　平井庸信_ページ_3.jpg")</f>
        <v>そ/そつ　卒厥　青筋　中悪　1807　続名家灸選　平井庸信_ページ_3.jpg</v>
      </c>
    </row>
    <row r="3506" spans="1:2" x14ac:dyDescent="0.15">
      <c r="A3506" t="s">
        <v>3479</v>
      </c>
      <c r="B3506" t="str">
        <f>HYPERLINK("そ/そつ　卒厥不省人事　1765　鍼法弁惑　藤井秀孟.jpg")</f>
        <v>そ/そつ　卒厥不省人事　1765　鍼法弁惑　藤井秀孟.jpg</v>
      </c>
    </row>
    <row r="3507" spans="1:2" x14ac:dyDescent="0.15">
      <c r="A3507" t="s">
        <v>3480</v>
      </c>
      <c r="B3507" t="str">
        <f>HYPERLINK("そ/そつ　卒心痛不可忍　1315　鍼経摘英集　元・杜思敬「済生抜粋方」_ページ_1.jpg")</f>
        <v>そ/そつ　卒心痛不可忍　1315　鍼経摘英集　元・杜思敬「済生抜粋方」_ページ_1.jpg</v>
      </c>
    </row>
    <row r="3508" spans="1:2" x14ac:dyDescent="0.15">
      <c r="A3508" t="s">
        <v>3481</v>
      </c>
      <c r="B3508" t="str">
        <f>HYPERLINK("そ/そつ　卒心痛不可忍　1315　鍼経摘英集　元・杜思敬「済生抜粋方」_ページ_2.jpg")</f>
        <v>そ/そつ　卒心痛不可忍　1315　鍼経摘英集　元・杜思敬「済生抜粋方」_ページ_2.jpg</v>
      </c>
    </row>
    <row r="3509" spans="1:2" x14ac:dyDescent="0.15">
      <c r="A3509" t="s">
        <v>3482</v>
      </c>
      <c r="B3509" t="str">
        <f>HYPERLINK("そ/そつ　卒忤死法　1226　備急灸法　宋・聞人耆年_ページ_1.jpg")</f>
        <v>そ/そつ　卒忤死法　1226　備急灸法　宋・聞人耆年_ページ_1.jpg</v>
      </c>
    </row>
    <row r="3510" spans="1:2" x14ac:dyDescent="0.15">
      <c r="A3510" t="s">
        <v>3483</v>
      </c>
      <c r="B3510" t="str">
        <f>HYPERLINK("そ/そつ　卒忤死法　1226　備急灸法　宋・聞人耆年_ページ_2.jpg")</f>
        <v>そ/そつ　卒忤死法　1226　備急灸法　宋・聞人耆年_ページ_2.jpg</v>
      </c>
    </row>
    <row r="3511" spans="1:2" x14ac:dyDescent="0.15">
      <c r="A3511" t="s">
        <v>3484</v>
      </c>
      <c r="B3511" t="str">
        <f>HYPERLINK("そ/そつ　卒暴心痛　1226　備急灸法　宋・聞人耆年.jpg")</f>
        <v>そ/そつ　卒暴心痛　1226　備急灸法　宋・聞人耆年.jpg</v>
      </c>
    </row>
    <row r="3512" spans="1:2" x14ac:dyDescent="0.15">
      <c r="A3512" t="s">
        <v>3485</v>
      </c>
      <c r="B3512" t="str">
        <f>HYPERLINK("そ/そつ　卒死客忤（ソツシカクゴ）　とんし　卒死　1887（明治20）　鍼灸備要　青山道醇_ページ_1.jpg")</f>
        <v>そ/そつ　卒死客忤（ソツシカクゴ）　とんし　卒死　1887（明治20）　鍼灸備要　青山道醇_ページ_1.jpg</v>
      </c>
    </row>
    <row r="3513" spans="1:2" x14ac:dyDescent="0.15">
      <c r="A3513" t="s">
        <v>3486</v>
      </c>
      <c r="B3513" t="str">
        <f>HYPERLINK("そ/そつ　卒死客忤（ソツシカクゴ）　とんし　卒死　1887（明治20）　鍼灸備要　青山道醇_ページ_2.jpg")</f>
        <v>そ/そつ　卒死客忤（ソツシカクゴ）　とんし　卒死　1887（明治20）　鍼灸備要　青山道醇_ページ_2.jpg</v>
      </c>
    </row>
    <row r="3514" spans="1:2" x14ac:dyDescent="0.15">
      <c r="A3514" t="s">
        <v>3487</v>
      </c>
      <c r="B3514" t="str">
        <f>HYPERLINK("そ/そつ　卒死暴絶　成書年未詳　灸穴集　著者未詳.jpg")</f>
        <v>そ/そつ　卒死暴絶　成書年未詳　灸穴集　著者未詳.jpg</v>
      </c>
    </row>
    <row r="3515" spans="1:2" x14ac:dyDescent="0.15">
      <c r="A3515" t="s">
        <v>3488</v>
      </c>
      <c r="B3515" t="str">
        <f>HYPERLINK("そ/そん　そん泄　1220　鍼灸資生経　王執中_ページ_1.jpg")</f>
        <v>そ/そん　そん泄　1220　鍼灸資生経　王執中_ページ_1.jpg</v>
      </c>
    </row>
    <row r="3516" spans="1:2" x14ac:dyDescent="0.15">
      <c r="A3516" t="s">
        <v>3489</v>
      </c>
      <c r="B3516" t="str">
        <f>HYPERLINK("そ/そん　そん泄　1220　鍼灸資生経　王執中_ページ_2.jpg")</f>
        <v>そ/そん　そん泄　1220　鍼灸資生経　王執中_ページ_2.jpg</v>
      </c>
    </row>
    <row r="3517" spans="1:2" x14ac:dyDescent="0.15">
      <c r="A3517" t="s">
        <v>3490</v>
      </c>
      <c r="B3517" t="str">
        <f>HYPERLINK("そ/そん　損傷　1773　鍼灸手引草　大簡室主人.jpg")</f>
        <v>そ/そん　損傷　1773　鍼灸手引草　大簡室主人.jpg</v>
      </c>
    </row>
    <row r="3518" spans="1:2" x14ac:dyDescent="0.15">
      <c r="A3518" t="s">
        <v>3491</v>
      </c>
      <c r="B3518" t="str">
        <f>HYPERLINK("そ/そん　損傷　そこなひやぶる　1718　鍼灸重宝記　本郷正豊.jpg")</f>
        <v>そ/そん　損傷　そこなひやぶる　1718　鍼灸重宝記　本郷正豊.jpg</v>
      </c>
    </row>
    <row r="3519" spans="1:2" x14ac:dyDescent="0.15">
      <c r="A3519" t="s">
        <v>3492</v>
      </c>
      <c r="B3519" t="str">
        <f>HYPERLINK("そ/そん　損傷　玉機微義針灸証治　1537　鍼灸聚英　明・高武_ページ_1.jpg")</f>
        <v>そ/そん　損傷　玉機微義針灸証治　1537　鍼灸聚英　明・高武_ページ_1.jpg</v>
      </c>
    </row>
    <row r="3520" spans="1:2" x14ac:dyDescent="0.15">
      <c r="A3520" t="s">
        <v>3493</v>
      </c>
      <c r="B3520" t="str">
        <f>HYPERLINK("そ/そん　損傷　玉機微義針灸証治　1537　鍼灸聚英　明・高武_ページ_2.jpg")</f>
        <v>そ/そん　損傷　玉機微義針灸証治　1537　鍼灸聚英　明・高武_ページ_2.jpg</v>
      </c>
    </row>
    <row r="3521" spans="1:2" x14ac:dyDescent="0.15">
      <c r="A3521" t="s">
        <v>3494</v>
      </c>
      <c r="B3521" t="str">
        <f>HYPERLINK("ぞ/ぞう　蔵躁病　しきうしやく　子宮痙攣　1887（明治20）　鍼灸備要　青山道醇.jpg")</f>
        <v>ぞ/ぞう　蔵躁病　しきうしやく　子宮痙攣　1887（明治20）　鍼灸備要　青山道醇.jpg</v>
      </c>
    </row>
    <row r="3522" spans="1:2" x14ac:dyDescent="0.15">
      <c r="A3522" t="s">
        <v>3495</v>
      </c>
      <c r="B3522" t="str">
        <f>HYPERLINK("た/た　多寐　1669　鍼灸枢要　山本玄通_ページ_1.jpg")</f>
        <v>た/た　多寐　1669　鍼灸枢要　山本玄通_ページ_1.jpg</v>
      </c>
    </row>
    <row r="3523" spans="1:2" x14ac:dyDescent="0.15">
      <c r="A3523" t="s">
        <v>3496</v>
      </c>
      <c r="B3523" t="str">
        <f>HYPERLINK("た/た　多寐　1669　鍼灸枢要　山本玄通_ページ_2.jpg")</f>
        <v>た/た　多寐　1669　鍼灸枢要　山本玄通_ページ_2.jpg</v>
      </c>
    </row>
    <row r="3524" spans="1:2" x14ac:dyDescent="0.15">
      <c r="A3524" t="s">
        <v>3497</v>
      </c>
      <c r="B3524" t="str">
        <f>HYPERLINK("た/たい　たい　1563　鍼灸集要　曲直瀬道三.jpg")</f>
        <v>た/たい　たい　1563　鍼灸集要　曲直瀬道三.jpg</v>
      </c>
    </row>
    <row r="3525" spans="1:2" x14ac:dyDescent="0.15">
      <c r="A3525" t="s">
        <v>3498</v>
      </c>
      <c r="B3525" t="str">
        <f>HYPERLINK("た/たい　たい疝　0650　千金方　孫思ばく_ページ_1.jpg")</f>
        <v>た/たい　たい疝　0650　千金方　孫思ばく_ページ_1.jpg</v>
      </c>
    </row>
    <row r="3526" spans="1:2" x14ac:dyDescent="0.15">
      <c r="A3526" t="s">
        <v>3499</v>
      </c>
      <c r="B3526" t="str">
        <f>HYPERLINK("た/たい　たい疝　0650　千金方　孫思ばく_ページ_2.jpg")</f>
        <v>た/たい　たい疝　0650　千金方　孫思ばく_ページ_2.jpg</v>
      </c>
    </row>
    <row r="3527" spans="1:2" x14ac:dyDescent="0.15">
      <c r="A3527" t="s">
        <v>3500</v>
      </c>
      <c r="B3527" t="str">
        <f>HYPERLINK("た/たい　たい疝　0650　千金方　孫思ばく_ページ_3.jpg")</f>
        <v>た/たい　たい疝　0650　千金方　孫思ばく_ページ_3.jpg</v>
      </c>
    </row>
    <row r="3528" spans="1:2" x14ac:dyDescent="0.15">
      <c r="A3528" t="s">
        <v>3501</v>
      </c>
      <c r="B3528" t="str">
        <f>HYPERLINK("た/たい　たい疝　1220　鍼灸資生経　王執中_ページ_1.jpg")</f>
        <v>た/たい　たい疝　1220　鍼灸資生経　王執中_ページ_1.jpg</v>
      </c>
    </row>
    <row r="3529" spans="1:2" x14ac:dyDescent="0.15">
      <c r="A3529" t="s">
        <v>3502</v>
      </c>
      <c r="B3529" t="str">
        <f>HYPERLINK("た/たい　たい疝　1220　鍼灸資生経　王執中_ページ_2.jpg")</f>
        <v>た/たい　たい疝　1220　鍼灸資生経　王執中_ページ_2.jpg</v>
      </c>
    </row>
    <row r="3530" spans="1:2" x14ac:dyDescent="0.15">
      <c r="A3530" t="s">
        <v>3503</v>
      </c>
      <c r="B3530" t="str">
        <f>HYPERLINK("た/たい　たい疝　1220　鍼灸資生経　王執中_ページ_3.jpg")</f>
        <v>た/たい　たい疝　1220　鍼灸資生経　王執中_ページ_3.jpg</v>
      </c>
    </row>
    <row r="3531" spans="1:2" x14ac:dyDescent="0.15">
      <c r="A3531" t="s">
        <v>3504</v>
      </c>
      <c r="B3531" t="str">
        <f>HYPERLINK("た/たい　たい疝　1220　鍼灸資生経　王執中_ページ_4.jpg")</f>
        <v>た/たい　たい疝　1220　鍼灸資生経　王執中_ページ_4.jpg</v>
      </c>
    </row>
    <row r="3532" spans="1:2" x14ac:dyDescent="0.15">
      <c r="A3532" t="s">
        <v>3505</v>
      </c>
      <c r="B3532" t="str">
        <f>HYPERLINK("た/たい　たい疝　1912年（大正01）　鍼灸手引草　久木田七郎_ページ_1.jpg")</f>
        <v>た/たい　たい疝　1912年（大正01）　鍼灸手引草　久木田七郎_ページ_1.jpg</v>
      </c>
    </row>
    <row r="3533" spans="1:2" x14ac:dyDescent="0.15">
      <c r="A3533" t="s">
        <v>3506</v>
      </c>
      <c r="B3533" t="str">
        <f>HYPERLINK("た/たい　たい疝　1912年（大正01）　鍼灸手引草　久木田七郎_ページ_2.jpg")</f>
        <v>た/たい　たい疝　1912年（大正01）　鍼灸手引草　久木田七郎_ページ_2.jpg</v>
      </c>
    </row>
    <row r="3534" spans="1:2" x14ac:dyDescent="0.15">
      <c r="A3534" t="s">
        <v>3507</v>
      </c>
      <c r="B3534" t="str">
        <f>HYPERLINK("た/たい　たい疝偏大　1703　鍼灸阿是要穴　岡本一抱.jpg")</f>
        <v>た/たい　たい疝偏大　1703　鍼灸阿是要穴　岡本一抱.jpg</v>
      </c>
    </row>
    <row r="3535" spans="1:2" x14ac:dyDescent="0.15">
      <c r="A3535" t="s">
        <v>3508</v>
      </c>
      <c r="B3535" t="str">
        <f>HYPERLINK("た/たい　体気　わきが　1686　鍼灸要法指南　岩田利斎.jpg")</f>
        <v>た/たい　体気　わきが　1686　鍼灸要法指南　岩田利斎.jpg</v>
      </c>
    </row>
    <row r="3536" spans="1:2" x14ac:dyDescent="0.15">
      <c r="A3536" t="s">
        <v>3509</v>
      </c>
      <c r="B3536" t="str">
        <f>HYPERLINK("た/たい　善太息　1669　鍼灸枢要　山本玄通_ページ_1.jpg")</f>
        <v>た/たい　善太息　1669　鍼灸枢要　山本玄通_ページ_1.jpg</v>
      </c>
    </row>
    <row r="3537" spans="1:2" x14ac:dyDescent="0.15">
      <c r="A3537" t="s">
        <v>3510</v>
      </c>
      <c r="B3537" t="str">
        <f>HYPERLINK("た/たい　善太息　1669　鍼灸枢要　山本玄通_ページ_2.jpg")</f>
        <v>た/たい　善太息　1669　鍼灸枢要　山本玄通_ページ_2.jpg</v>
      </c>
    </row>
    <row r="3538" spans="1:2" x14ac:dyDescent="0.15">
      <c r="A3538" t="s">
        <v>3511</v>
      </c>
      <c r="B3538" t="str">
        <f>HYPERLINK("た/たい　太陽少陽併病　1537　鍼灸聚英　明・高武.jpg")</f>
        <v>た/たい　太陽少陽併病　1537　鍼灸聚英　明・高武.jpg</v>
      </c>
    </row>
    <row r="3539" spans="1:2" x14ac:dyDescent="0.15">
      <c r="A3539" t="s">
        <v>3512</v>
      </c>
      <c r="B3539" t="str">
        <f>HYPERLINK("た/たい　帯下　1220　赤白帯　鍼灸資生経　王執中_ページ_1.jpg")</f>
        <v>た/たい　帯下　1220　赤白帯　鍼灸資生経　王執中_ページ_1.jpg</v>
      </c>
    </row>
    <row r="3540" spans="1:2" x14ac:dyDescent="0.15">
      <c r="A3540" t="s">
        <v>3513</v>
      </c>
      <c r="B3540" t="str">
        <f>HYPERLINK("た/たい　帯下　1220　赤白帯　鍼灸資生経　王執中_ページ_2.jpg")</f>
        <v>た/たい　帯下　1220　赤白帯　鍼灸資生経　王執中_ページ_2.jpg</v>
      </c>
    </row>
    <row r="3541" spans="1:2" x14ac:dyDescent="0.15">
      <c r="A3541" t="s">
        <v>3514</v>
      </c>
      <c r="B3541" t="str">
        <f>HYPERLINK("た/たい　帯下　1329　白帯　扁鵲神応鍼灸玉龍経　元・王国瑞_ページ_1.jpg")</f>
        <v>た/たい　帯下　1329　白帯　扁鵲神応鍼灸玉龍経　元・王国瑞_ページ_1.jpg</v>
      </c>
    </row>
    <row r="3542" spans="1:2" x14ac:dyDescent="0.15">
      <c r="A3542" t="s">
        <v>3515</v>
      </c>
      <c r="B3542" t="str">
        <f>HYPERLINK("た/たい　帯下　1329　白帯　扁鵲神応鍼灸玉龍経　元・王国瑞_ページ_2.jpg")</f>
        <v>た/たい　帯下　1329　白帯　扁鵲神応鍼灸玉龍経　元・王国瑞_ページ_2.jpg</v>
      </c>
    </row>
    <row r="3543" spans="1:2" x14ac:dyDescent="0.15">
      <c r="A3543" t="s">
        <v>3516</v>
      </c>
      <c r="B3543" t="str">
        <f>HYPERLINK("た/たい　帯下　1669　赤白帯下　鍼灸枢要　山本玄通_ページ_1.jpg")</f>
        <v>た/たい　帯下　1669　赤白帯下　鍼灸枢要　山本玄通_ページ_1.jpg</v>
      </c>
    </row>
    <row r="3544" spans="1:2" x14ac:dyDescent="0.15">
      <c r="A3544" t="s">
        <v>3517</v>
      </c>
      <c r="B3544" t="str">
        <f>HYPERLINK("た/たい　帯下　1669　赤白帯下　鍼灸枢要　山本玄通_ページ_2.jpg")</f>
        <v>た/たい　帯下　1669　赤白帯下　鍼灸枢要　山本玄通_ページ_2.jpg</v>
      </c>
    </row>
    <row r="3545" spans="1:2" x14ac:dyDescent="0.15">
      <c r="A3545" t="s">
        <v>3518</v>
      </c>
      <c r="B3545" t="str">
        <f>HYPERLINK("た/たい　帯下　1669　赤白帯下　鍼灸枢要　山本玄通_ページ_3.jpg")</f>
        <v>た/たい　帯下　1669　赤白帯下　鍼灸枢要　山本玄通_ページ_3.jpg</v>
      </c>
    </row>
    <row r="3546" spans="1:2" x14ac:dyDescent="0.15">
      <c r="A3546" t="s">
        <v>3519</v>
      </c>
      <c r="B3546" t="str">
        <f>HYPERLINK("た/たい　帯下　1669　赤白帯下　鍼灸枢要　山本玄通_ページ_4.jpg")</f>
        <v>た/たい　帯下　1669　赤白帯下　鍼灸枢要　山本玄通_ページ_4.jpg</v>
      </c>
    </row>
    <row r="3547" spans="1:2" x14ac:dyDescent="0.15">
      <c r="A3547" t="s">
        <v>3520</v>
      </c>
      <c r="B3547" t="str">
        <f>HYPERLINK("た/たい　帯下　1693　赤白帯下　鍼灸要歌集　安井昌玄.jpg")</f>
        <v>た/たい　帯下　1693　赤白帯下　鍼灸要歌集　安井昌玄.jpg</v>
      </c>
    </row>
    <row r="3548" spans="1:2" x14ac:dyDescent="0.15">
      <c r="A3548" t="s">
        <v>3521</v>
      </c>
      <c r="B3548" t="str">
        <f>HYPERLINK("た/たい　帯下　1758　婦人赤白帯下　灸ぜつ塩土伝　三宅意安_ページ_1.jpg")</f>
        <v>た/たい　帯下　1758　婦人赤白帯下　灸ぜつ塩土伝　三宅意安_ページ_1.jpg</v>
      </c>
    </row>
    <row r="3549" spans="1:2" x14ac:dyDescent="0.15">
      <c r="A3549" t="s">
        <v>3522</v>
      </c>
      <c r="B3549" t="str">
        <f>HYPERLINK("た/たい　帯下　1758　婦人赤白帯下　灸ぜつ塩土伝　三宅意安_ページ_2.jpg")</f>
        <v>た/たい　帯下　1758　婦人赤白帯下　灸ぜつ塩土伝　三宅意安_ページ_2.jpg</v>
      </c>
    </row>
    <row r="3550" spans="1:2" x14ac:dyDescent="0.15">
      <c r="A3550" t="s">
        <v>3523</v>
      </c>
      <c r="B3550" t="str">
        <f>HYPERLINK("た/たい　帯下　1758　婦人赤白帯下　灸ぜつ塩土伝　三宅意安_ページ_3.jpg")</f>
        <v>た/たい　帯下　1758　婦人赤白帯下　灸ぜつ塩土伝　三宅意安_ページ_3.jpg</v>
      </c>
    </row>
    <row r="3551" spans="1:2" x14ac:dyDescent="0.15">
      <c r="A3551" t="s">
        <v>3524</v>
      </c>
      <c r="B3551" t="str">
        <f>HYPERLINK("た/たい　帯下　1758　婦人赤白帯下　灸ぜつ塩土伝　三宅意安_ページ_4.jpg")</f>
        <v>た/たい　帯下　1758　婦人赤白帯下　灸ぜつ塩土伝　三宅意安_ページ_4.jpg</v>
      </c>
    </row>
    <row r="3552" spans="1:2" x14ac:dyDescent="0.15">
      <c r="A3552" t="s">
        <v>3525</v>
      </c>
      <c r="B3552" t="str">
        <f>HYPERLINK("た/たい　帯下　1758　灸ぜつ塩土伝　三宅意安.jpg")</f>
        <v>た/たい　帯下　1758　灸ぜつ塩土伝　三宅意安.jpg</v>
      </c>
    </row>
    <row r="3553" spans="1:2" x14ac:dyDescent="0.15">
      <c r="A3553" t="s">
        <v>3526</v>
      </c>
      <c r="B3553" t="str">
        <f>HYPERLINK("た/たい　帯下　1758　灸ぜつ塩土伝　三宅意安_ページ_1.jpg")</f>
        <v>た/たい　帯下　1758　灸ぜつ塩土伝　三宅意安_ページ_1.jpg</v>
      </c>
    </row>
    <row r="3554" spans="1:2" x14ac:dyDescent="0.15">
      <c r="A3554" t="s">
        <v>3527</v>
      </c>
      <c r="B3554" t="str">
        <f>HYPERLINK("た/たい　帯下　1758　灸ぜつ塩土伝　三宅意安_ページ_2.jpg")</f>
        <v>た/たい　帯下　1758　灸ぜつ塩土伝　三宅意安_ページ_2.jpg</v>
      </c>
    </row>
    <row r="3555" spans="1:2" x14ac:dyDescent="0.15">
      <c r="A3555" t="s">
        <v>3528</v>
      </c>
      <c r="B3555" t="str">
        <f>HYPERLINK("た/たい　帯下　1758　赤白帯下-02　灸ぜつ塩土伝　三宅意安.jpg")</f>
        <v>た/たい　帯下　1758　赤白帯下-02　灸ぜつ塩土伝　三宅意安.jpg</v>
      </c>
    </row>
    <row r="3556" spans="1:2" x14ac:dyDescent="0.15">
      <c r="A3556" t="s">
        <v>3529</v>
      </c>
      <c r="B3556" t="str">
        <f>HYPERLINK("た/たい　帯下　1758　赤白帯下　灸ぜつ塩土伝　三宅意安.jpg")</f>
        <v>た/たい　帯下　1758　赤白帯下　灸ぜつ塩土伝　三宅意安.jpg</v>
      </c>
    </row>
    <row r="3557" spans="1:2" x14ac:dyDescent="0.15">
      <c r="A3557" t="s">
        <v>3530</v>
      </c>
      <c r="B3557" t="str">
        <f>HYPERLINK("た/たい　帯下　1767　鍼灸則　菅沼周桂_ページ_1.jpg")</f>
        <v>た/たい　帯下　1767　鍼灸則　菅沼周桂_ページ_1.jpg</v>
      </c>
    </row>
    <row r="3558" spans="1:2" x14ac:dyDescent="0.15">
      <c r="A3558" t="s">
        <v>3531</v>
      </c>
      <c r="B3558" t="str">
        <f>HYPERLINK("た/たい　帯下　1767　鍼灸則　菅沼周桂_ページ_2.jpg")</f>
        <v>た/たい　帯下　1767　鍼灸則　菅沼周桂_ページ_2.jpg</v>
      </c>
    </row>
    <row r="3559" spans="1:2" x14ac:dyDescent="0.15">
      <c r="A3559" t="s">
        <v>3532</v>
      </c>
      <c r="B3559" t="str">
        <f>HYPERLINK("た/たい　帯下　1780　赤白帯下の妙灸　しら血・長血の妙灸　鍼灸極秘伝　木村太沖.jpg")</f>
        <v>た/たい　帯下　1780　赤白帯下の妙灸　しら血・長血の妙灸　鍼灸極秘伝　木村太沖.jpg</v>
      </c>
    </row>
    <row r="3560" spans="1:2" x14ac:dyDescent="0.15">
      <c r="A3560" t="s">
        <v>3533</v>
      </c>
      <c r="B3560" t="str">
        <f>HYPERLINK("た/たい　帯下　1794　赤白帯下　杉山流鍼術　島浦和田一.jpg")</f>
        <v>た/たい　帯下　1794　赤白帯下　杉山流鍼術　島浦和田一.jpg</v>
      </c>
    </row>
    <row r="3561" spans="1:2" x14ac:dyDescent="0.15">
      <c r="A3561" t="s">
        <v>3534</v>
      </c>
      <c r="B3561" t="str">
        <f>HYPERLINK("た/たい　帯下　1800　赤白帯下　鍼灸備要　小坂元祐_ページ_1.jpg")</f>
        <v>た/たい　帯下　1800　赤白帯下　鍼灸備要　小坂元祐_ページ_1.jpg</v>
      </c>
    </row>
    <row r="3562" spans="1:2" x14ac:dyDescent="0.15">
      <c r="A3562" t="s">
        <v>3535</v>
      </c>
      <c r="B3562" t="str">
        <f>HYPERLINK("た/たい　帯下　1800　赤白帯下　鍼灸備要　小坂元祐_ページ_2.jpg")</f>
        <v>た/たい　帯下　1800　赤白帯下　鍼灸備要　小坂元祐_ページ_2.jpg</v>
      </c>
    </row>
    <row r="3563" spans="1:2" x14ac:dyDescent="0.15">
      <c r="A3563" t="s">
        <v>3536</v>
      </c>
      <c r="B3563" t="str">
        <f>HYPERLINK("た/たい　帯下　1807　赤白帯下　崩漏　続名家灸選　平井庸信_ページ_1.jpg")</f>
        <v>た/たい　帯下　1807　赤白帯下　崩漏　続名家灸選　平井庸信_ページ_1.jpg</v>
      </c>
    </row>
    <row r="3564" spans="1:2" x14ac:dyDescent="0.15">
      <c r="A3564" t="s">
        <v>3537</v>
      </c>
      <c r="B3564" t="str">
        <f>HYPERLINK("た/たい　帯下　1807　赤白帯下　崩漏　続名家灸選　平井庸信_ページ_2.jpg")</f>
        <v>た/たい　帯下　1807　赤白帯下　崩漏　続名家灸選　平井庸信_ページ_2.jpg</v>
      </c>
    </row>
    <row r="3565" spans="1:2" x14ac:dyDescent="0.15">
      <c r="A3565" t="s">
        <v>3538</v>
      </c>
      <c r="B3565" t="str">
        <f>HYPERLINK("た/たい　帯下　1887（明治20）　白帯下（はくたいげ）　しらち、又、こしけ　子宮粘膜炎　鍼灸備要　青山道醇.jpg")</f>
        <v>た/たい　帯下　1887（明治20）　白帯下（はくたいげ）　しらち、又、こしけ　子宮粘膜炎　鍼灸備要　青山道醇.jpg</v>
      </c>
    </row>
    <row r="3566" spans="1:2" x14ac:dyDescent="0.15">
      <c r="A3566" t="s">
        <v>3539</v>
      </c>
      <c r="B3566" t="str">
        <f>HYPERLINK("た/たい　帯下　1887（明治20）　赤（しゃく）帯下　ながち　陰膣粘膜炎　鍼灸備要　青山道醇.jpg")</f>
        <v>た/たい　帯下　1887（明治20）　赤（しゃく）帯下　ながち　陰膣粘膜炎　鍼灸備要　青山道醇.jpg</v>
      </c>
    </row>
    <row r="3567" spans="1:2" x14ac:dyDescent="0.15">
      <c r="A3567" t="s">
        <v>3540</v>
      </c>
      <c r="B3567" t="str">
        <f>HYPERLINK("た/たい　帯下　1912年（大正01）　鍼灸手引草　久木田七郎.jpg")</f>
        <v>た/たい　帯下　1912年（大正01）　鍼灸手引草　久木田七郎.jpg</v>
      </c>
    </row>
    <row r="3568" spans="1:2" x14ac:dyDescent="0.15">
      <c r="A3568" t="s">
        <v>3541</v>
      </c>
      <c r="B3568" t="str">
        <f>HYPERLINK("た/たい　帯下　こしけ　1686　鍼灸要法指南　岩田利斎.jpg")</f>
        <v>た/たい　帯下　こしけ　1686　鍼灸要法指南　岩田利斎.jpg</v>
      </c>
    </row>
    <row r="3569" spans="1:2" x14ac:dyDescent="0.15">
      <c r="A3569" t="s">
        <v>3542</v>
      </c>
      <c r="B3569" t="str">
        <f>HYPERLINK("た/たい　帯下　赤白滞下　成書年未詳　灸穴集　著者未詳_ページ_1.jpg")</f>
        <v>た/たい　帯下　赤白滞下　成書年未詳　灸穴集　著者未詳_ページ_1.jpg</v>
      </c>
    </row>
    <row r="3570" spans="1:2" x14ac:dyDescent="0.15">
      <c r="A3570" t="s">
        <v>3543</v>
      </c>
      <c r="B3570" t="str">
        <f>HYPERLINK("た/たい　帯下　赤白滞下　成書年未詳　灸穴集　著者未詳_ページ_2.jpg")</f>
        <v>た/たい　帯下　赤白滞下　成書年未詳　灸穴集　著者未詳_ページ_2.jpg</v>
      </c>
    </row>
    <row r="3571" spans="1:2" x14ac:dyDescent="0.15">
      <c r="A3571" t="s">
        <v>3544</v>
      </c>
      <c r="B3571" t="str">
        <f>HYPERLINK("た/たい　帯下　赤白滞下　成書年未詳　灸穴集　著者未詳_ページ_3.jpg")</f>
        <v>た/たい　帯下　赤白滞下　成書年未詳　灸穴集　著者未詳_ページ_3.jpg</v>
      </c>
    </row>
    <row r="3572" spans="1:2" x14ac:dyDescent="0.15">
      <c r="A3572" t="s">
        <v>3545</v>
      </c>
      <c r="B3572" t="str">
        <f>HYPERLINK("た/たい　帯下　赤白滞下　成書年未詳　灸穴集　著者未詳_ページ_4.jpg")</f>
        <v>た/たい　帯下　赤白滞下　成書年未詳　灸穴集　著者未詳_ページ_4.jpg</v>
      </c>
    </row>
    <row r="3573" spans="1:2" x14ac:dyDescent="0.15">
      <c r="A3573" t="s">
        <v>3546</v>
      </c>
      <c r="B3573" t="str">
        <f>HYPERLINK("た/たい　帯下　赤白滞下　成書年未詳　灸穴集　著者未詳_ページ_5.jpg")</f>
        <v>た/たい　帯下　赤白滞下　成書年未詳　灸穴集　著者未詳_ページ_5.jpg</v>
      </c>
    </row>
    <row r="3574" spans="1:2" x14ac:dyDescent="0.15">
      <c r="A3574" t="s">
        <v>3547</v>
      </c>
      <c r="B3574" t="str">
        <f>HYPERLINK("た/たい　帯下　赤白滞下　成書年未詳　灸穴集　著者未詳_ページ_6.jpg")</f>
        <v>た/たい　帯下　赤白滞下　成書年未詳　灸穴集　著者未詳_ページ_6.jpg</v>
      </c>
    </row>
    <row r="3575" spans="1:2" x14ac:dyDescent="0.15">
      <c r="A3575" t="s">
        <v>3548</v>
      </c>
      <c r="B3575" t="str">
        <f>HYPERLINK("た/たい　帯下　赤白滞下　成書年未詳　灸穴集　著者未詳_ページ_7.jpg")</f>
        <v>た/たい　帯下　赤白滞下　成書年未詳　灸穴集　著者未詳_ページ_7.jpg</v>
      </c>
    </row>
    <row r="3576" spans="1:2" x14ac:dyDescent="0.15">
      <c r="A3576" t="s">
        <v>3549</v>
      </c>
      <c r="B3576" t="str">
        <f>HYPERLINK("た/たい　帯下奇兪　1703　鍼灸阿是要穴　岡本一抱.jpg")</f>
        <v>た/たい　帯下奇兪　1703　鍼灸阿是要穴　岡本一抱.jpg</v>
      </c>
    </row>
    <row r="3577" spans="1:2" x14ac:dyDescent="0.15">
      <c r="A3577" t="s">
        <v>3550</v>
      </c>
      <c r="B3577" t="str">
        <f>HYPERLINK("た/たい　帯下奇穴　1758　灸ぜつ塩土伝　三宅意安_ページ_1.jpg")</f>
        <v>た/たい　帯下奇穴　1758　灸ぜつ塩土伝　三宅意安_ページ_1.jpg</v>
      </c>
    </row>
    <row r="3578" spans="1:2" x14ac:dyDescent="0.15">
      <c r="A3578" t="s">
        <v>3551</v>
      </c>
      <c r="B3578" t="str">
        <f>HYPERLINK("た/たい　帯下奇穴　1758　灸ぜつ塩土伝　三宅意安_ページ_2.jpg")</f>
        <v>た/たい　帯下奇穴　1758　灸ぜつ塩土伝　三宅意安_ページ_2.jpg</v>
      </c>
    </row>
    <row r="3579" spans="1:2" x14ac:dyDescent="0.15">
      <c r="A3579" t="s">
        <v>3552</v>
      </c>
      <c r="B3579" t="str">
        <f>HYPERLINK("た/たい　戴眼　1624　類経図翼　明・張介賓_ページ_1.jpg")</f>
        <v>た/たい　戴眼　1624　類経図翼　明・張介賓_ページ_1.jpg</v>
      </c>
    </row>
    <row r="3580" spans="1:2" x14ac:dyDescent="0.15">
      <c r="A3580" t="s">
        <v>3553</v>
      </c>
      <c r="B3580" t="str">
        <f>HYPERLINK("た/たい　戴眼　1624　類経図翼　明・張介賓_ページ_2.jpg")</f>
        <v>た/たい　戴眼　1624　類経図翼　明・張介賓_ページ_2.jpg</v>
      </c>
    </row>
    <row r="3581" spans="1:2" x14ac:dyDescent="0.15">
      <c r="A3581" t="s">
        <v>3554</v>
      </c>
      <c r="B3581" t="str">
        <f>HYPERLINK("た/たい　滯頤　よだれながる　1686　鍼灸要法指南　岩田利斎.jpg")</f>
        <v>た/たい　滯頤　よだれながる　1686　鍼灸要法指南　岩田利斎.jpg</v>
      </c>
    </row>
    <row r="3582" spans="1:2" x14ac:dyDescent="0.15">
      <c r="A3582" t="s">
        <v>3555</v>
      </c>
      <c r="B3582" t="str">
        <f>HYPERLINK("た/たい　胎動　1686　鍼灸要法指南　岩田利斎.jpg")</f>
        <v>た/たい　胎動　1686　鍼灸要法指南　岩田利斎.jpg</v>
      </c>
    </row>
    <row r="3583" spans="1:2" x14ac:dyDescent="0.15">
      <c r="A3583" t="s">
        <v>3556</v>
      </c>
      <c r="B3583" t="str">
        <f>HYPERLINK("た/たい　胎動之論　1693　鍼灸要歌集　安井昌玄_ページ_1.jpg")</f>
        <v>た/たい　胎動之論　1693　鍼灸要歌集　安井昌玄_ページ_1.jpg</v>
      </c>
    </row>
    <row r="3584" spans="1:2" x14ac:dyDescent="0.15">
      <c r="A3584" t="s">
        <v>3557</v>
      </c>
      <c r="B3584" t="str">
        <f>HYPERLINK("た/たい　胎動之論　1693　鍼灸要歌集　安井昌玄_ページ_2.jpg")</f>
        <v>た/たい　胎動之論　1693　鍼灸要歌集　安井昌玄_ページ_2.jpg</v>
      </c>
    </row>
    <row r="3585" spans="1:2" x14ac:dyDescent="0.15">
      <c r="A3585" t="s">
        <v>3558</v>
      </c>
      <c r="B3585" t="str">
        <f>HYPERLINK("た/たい　胎墜易　1686　鍼灸要法指南　岩田利斎.jpg")</f>
        <v>た/たい　胎墜易　1686　鍼灸要法指南　岩田利斎.jpg</v>
      </c>
    </row>
    <row r="3586" spans="1:2" x14ac:dyDescent="0.15">
      <c r="A3586" t="s">
        <v>3559</v>
      </c>
      <c r="B3586" t="str">
        <f>HYPERLINK("た/たい　胎欲墜　1765　鍼法弁惑　藤井秀孟.jpg")</f>
        <v>た/たい　胎欲墜　1765　鍼法弁惑　藤井秀孟.jpg</v>
      </c>
    </row>
    <row r="3587" spans="1:2" x14ac:dyDescent="0.15">
      <c r="A3587" t="s">
        <v>3560</v>
      </c>
      <c r="B3587" t="str">
        <f>HYPERLINK("た/たい　胎知男女　1669　鍼灸枢要　山本玄通.jpg")</f>
        <v>た/たい　胎知男女　1669　鍼灸枢要　山本玄通.jpg</v>
      </c>
    </row>
    <row r="3588" spans="1:2" x14ac:dyDescent="0.15">
      <c r="A3588" t="s">
        <v>3561</v>
      </c>
      <c r="B3588" t="str">
        <f>HYPERLINK("た/たい　胎落易を守之法　1693　鍼灸要歌集　安井昌玄_ページ_1.jpg")</f>
        <v>た/たい　胎落易を守之法　1693　鍼灸要歌集　安井昌玄_ページ_1.jpg</v>
      </c>
    </row>
    <row r="3589" spans="1:2" x14ac:dyDescent="0.15">
      <c r="A3589" t="s">
        <v>3562</v>
      </c>
      <c r="B3589" t="str">
        <f>HYPERLINK("た/たい　胎落易を守之法　1693　鍼灸要歌集　安井昌玄_ページ_2.jpg")</f>
        <v>た/たい　胎落易を守之法　1693　鍼灸要歌集　安井昌玄_ページ_2.jpg</v>
      </c>
    </row>
    <row r="3590" spans="1:2" x14ac:dyDescent="0.15">
      <c r="A3590" t="s">
        <v>3563</v>
      </c>
      <c r="B3590" t="str">
        <f>HYPERLINK("た/たい　胎衣不下　1694　選鍼三要集　杉山和一.jpg")</f>
        <v>た/たい　胎衣不下　1694　選鍼三要集　杉山和一.jpg</v>
      </c>
    </row>
    <row r="3591" spans="1:2" x14ac:dyDescent="0.15">
      <c r="A3591" t="s">
        <v>3564</v>
      </c>
      <c r="B3591" t="str">
        <f>HYPERLINK("た/たい　胎随針之穴　1613　古今集鍼法　長生庵了味か.jpg")</f>
        <v>た/たい　胎随針之穴　1613　古今集鍼法　長生庵了味か.jpg</v>
      </c>
    </row>
    <row r="3592" spans="1:2" x14ac:dyDescent="0.15">
      <c r="A3592" t="s">
        <v>3565</v>
      </c>
      <c r="B3592" t="str">
        <f>HYPERLINK("た/たい　腿痛　1329　扁鵲神応鍼灸玉龍経　元・王国瑞.jpg")</f>
        <v>た/たい　腿痛　1329　扁鵲神応鍼灸玉龍経　元・王国瑞.jpg</v>
      </c>
    </row>
    <row r="3593" spans="1:2" x14ac:dyDescent="0.15">
      <c r="A3593" t="s">
        <v>3566</v>
      </c>
      <c r="B3593" t="str">
        <f>HYPERLINK("た/たい　腿風　1329　扁鵲神応鍼灸玉龍経　元・王国瑞_ページ_1.jpg")</f>
        <v>た/たい　腿風　1329　扁鵲神応鍼灸玉龍経　元・王国瑞_ページ_1.jpg</v>
      </c>
    </row>
    <row r="3594" spans="1:2" x14ac:dyDescent="0.15">
      <c r="A3594" t="s">
        <v>3567</v>
      </c>
      <c r="B3594" t="str">
        <f>HYPERLINK("た/たい　腿風　1329　扁鵲神応鍼灸玉龍経　元・王国瑞_ページ_2.jpg")</f>
        <v>た/たい　腿風　1329　扁鵲神応鍼灸玉龍経　元・王国瑞_ページ_2.jpg</v>
      </c>
    </row>
    <row r="3595" spans="1:2" x14ac:dyDescent="0.15">
      <c r="A3595" t="s">
        <v>3568</v>
      </c>
      <c r="B3595" t="str">
        <f>HYPERLINK("た/たん　丹毒　はやくさ　1686　鍼灸要法指南　岩田利斎.jpg")</f>
        <v>た/たん　丹毒　はやくさ　1686　鍼灸要法指南　岩田利斎.jpg</v>
      </c>
    </row>
    <row r="3596" spans="1:2" x14ac:dyDescent="0.15">
      <c r="A3596" t="s">
        <v>3569</v>
      </c>
      <c r="B3596" t="str">
        <f>HYPERLINK("た/たん　丹毒之鍼　1685　鍼道秘訣集　御園夢分斎_ページ_1.jpg")</f>
        <v>た/たん　丹毒之鍼　1685　鍼道秘訣集　御園夢分斎_ページ_1.jpg</v>
      </c>
    </row>
    <row r="3597" spans="1:2" x14ac:dyDescent="0.15">
      <c r="A3597" t="s">
        <v>3570</v>
      </c>
      <c r="B3597" t="str">
        <f>HYPERLINK("た/たん　丹毒之鍼　1685　鍼道秘訣集　御園夢分斎_ページ_2.jpg")</f>
        <v>た/たん　丹毒之鍼　1685　鍼道秘訣集　御園夢分斎_ページ_2.jpg</v>
      </c>
    </row>
    <row r="3598" spans="1:2" x14ac:dyDescent="0.15">
      <c r="A3598" t="s">
        <v>3571</v>
      </c>
      <c r="B3598" t="str">
        <f>HYPERLINK("た/たん　丹毒之鍼　1685　鍼道秘訣集　御園夢分斎_ページ_3.jpg")</f>
        <v>た/たん　丹毒之鍼　1685　鍼道秘訣集　御園夢分斎_ページ_3.jpg</v>
      </c>
    </row>
    <row r="3599" spans="1:2" x14ac:dyDescent="0.15">
      <c r="A3599" t="s">
        <v>3572</v>
      </c>
      <c r="B3599" t="str">
        <f>HYPERLINK("た/たん　丹毒（小児）　1767　鍼灸則　菅沼周桂_ページ_1.jpg")</f>
        <v>た/たん　丹毒（小児）　1767　鍼灸則　菅沼周桂_ページ_1.jpg</v>
      </c>
    </row>
    <row r="3600" spans="1:2" x14ac:dyDescent="0.15">
      <c r="A3600" t="s">
        <v>3573</v>
      </c>
      <c r="B3600" t="str">
        <f>HYPERLINK("た/たん　丹毒（小児）　1767　鍼灸則　菅沼周桂_ページ_2.jpg")</f>
        <v>た/たん　丹毒（小児）　1767　鍼灸則　菅沼周桂_ページ_2.jpg</v>
      </c>
    </row>
    <row r="3601" spans="1:2" x14ac:dyDescent="0.15">
      <c r="A3601" t="s">
        <v>3574</v>
      </c>
      <c r="B3601" t="str">
        <f>HYPERLINK("た/たん　嘆息（太息）　1220　鍼灸資生経　王執中_ページ_1.jpg")</f>
        <v>た/たん　嘆息（太息）　1220　鍼灸資生経　王執中_ページ_1.jpg</v>
      </c>
    </row>
    <row r="3602" spans="1:2" x14ac:dyDescent="0.15">
      <c r="A3602" t="s">
        <v>3575</v>
      </c>
      <c r="B3602" t="str">
        <f>HYPERLINK("た/たん　嘆息（太息）　1220　鍼灸資生経　王執中_ページ_2.jpg")</f>
        <v>た/たん　嘆息（太息）　1220　鍼灸資生経　王執中_ページ_2.jpg</v>
      </c>
    </row>
    <row r="3603" spans="1:2" x14ac:dyDescent="0.15">
      <c r="A3603" t="s">
        <v>3576</v>
      </c>
      <c r="B3603" t="str">
        <f>HYPERLINK("た/たん　疸証　1669　鍼灸枢要　山本玄通_ページ_1.jpg")</f>
        <v>た/たん　疸証　1669　鍼灸枢要　山本玄通_ページ_1.jpg</v>
      </c>
    </row>
    <row r="3604" spans="1:2" x14ac:dyDescent="0.15">
      <c r="A3604" t="s">
        <v>3577</v>
      </c>
      <c r="B3604" t="str">
        <f>HYPERLINK("た/たん　疸証　1669　鍼灸枢要　山本玄通_ページ_2.jpg")</f>
        <v>た/たん　疸証　1669　鍼灸枢要　山本玄通_ページ_2.jpg</v>
      </c>
    </row>
    <row r="3605" spans="1:2" x14ac:dyDescent="0.15">
      <c r="A3605" t="s">
        <v>3578</v>
      </c>
      <c r="B3605" t="str">
        <f>HYPERLINK("た/たん　疸証　1669　鍼灸枢要　山本玄通_ページ_3.jpg")</f>
        <v>た/たん　疸証　1669　鍼灸枢要　山本玄通_ページ_3.jpg</v>
      </c>
    </row>
    <row r="3606" spans="1:2" x14ac:dyDescent="0.15">
      <c r="A3606" t="s">
        <v>3579</v>
      </c>
      <c r="B3606" t="str">
        <f>HYPERLINK("た/たん　疸証　1669　鍼灸枢要　山本玄通_ページ_4.jpg")</f>
        <v>た/たん　疸証　1669　鍼灸枢要　山本玄通_ページ_4.jpg</v>
      </c>
    </row>
    <row r="3607" spans="1:2" x14ac:dyDescent="0.15">
      <c r="A3607" t="s">
        <v>3580</v>
      </c>
      <c r="B3607" t="str">
        <f>HYPERLINK("た/たん　疸証　1669　鍼灸枢要　山本玄通_ページ_5.jpg")</f>
        <v>た/たん　疸証　1669　鍼灸枢要　山本玄通_ページ_5.jpg</v>
      </c>
    </row>
    <row r="3608" spans="1:2" x14ac:dyDescent="0.15">
      <c r="A3608" t="s">
        <v>3581</v>
      </c>
      <c r="B3608" t="str">
        <f>HYPERLINK("た/たん　痰厥、昏昧卒倒　たんつまりて急にたおれたる　1780　鍼灸極秘伝　木村太沖.jpg")</f>
        <v>た/たん　痰厥、昏昧卒倒　たんつまりて急にたおれたる　1780　鍼灸極秘伝　木村太沖.jpg</v>
      </c>
    </row>
    <row r="3609" spans="1:2" x14ac:dyDescent="0.15">
      <c r="A3609" t="s">
        <v>3582</v>
      </c>
      <c r="B3609" t="str">
        <f>HYPERLINK("た/たん　痰厥、絶えんとす　痰、胸膈に塞（ふさが）り昏迷する者　たんのはりて死なんとする人　1780　鍼灸極秘伝　木村太沖.jpg")</f>
        <v>た/たん　痰厥、絶えんとす　痰、胸膈に塞（ふさが）り昏迷する者　たんのはりて死なんとする人　1780　鍼灸極秘伝　木村太沖.jpg</v>
      </c>
    </row>
    <row r="3610" spans="1:2" x14ac:dyDescent="0.15">
      <c r="A3610" t="s">
        <v>3583</v>
      </c>
      <c r="B3610" t="str">
        <f>HYPERLINK("た/たん　痰喘之針穴　1613　古今集鍼法　長生庵了味か.jpg")</f>
        <v>た/たん　痰喘之針穴　1613　古今集鍼法　長生庵了味か.jpg</v>
      </c>
    </row>
    <row r="3611" spans="1:2" x14ac:dyDescent="0.15">
      <c r="A3611" t="s">
        <v>3584</v>
      </c>
      <c r="B3611" t="str">
        <f>HYPERLINK("た/たん　痰喘咳嗽部　1425　神応経　明・陳会撰・劉瑾重校_ページ_1.jpg")</f>
        <v>た/たん　痰喘咳嗽部　1425　神応経　明・陳会撰・劉瑾重校_ページ_1.jpg</v>
      </c>
    </row>
    <row r="3612" spans="1:2" x14ac:dyDescent="0.15">
      <c r="A3612" t="s">
        <v>3585</v>
      </c>
      <c r="B3612" t="str">
        <f>HYPERLINK("た/たん　痰喘咳嗽部　1425　神応経　明・陳会撰・劉瑾重校_ページ_2.jpg")</f>
        <v>た/たん　痰喘咳嗽部　1425　神応経　明・陳会撰・劉瑾重校_ページ_2.jpg</v>
      </c>
    </row>
    <row r="3613" spans="1:2" x14ac:dyDescent="0.15">
      <c r="A3613" t="s">
        <v>3586</v>
      </c>
      <c r="B3613" t="str">
        <f>HYPERLINK("た/たん　痰喘咳嗽部　1425　神応経　明・陳会撰・劉瑾重校_ページ_3.jpg")</f>
        <v>た/たん　痰喘咳嗽部　1425　神応経　明・陳会撰・劉瑾重校_ページ_3.jpg</v>
      </c>
    </row>
    <row r="3614" spans="1:2" x14ac:dyDescent="0.15">
      <c r="A3614" t="s">
        <v>3587</v>
      </c>
      <c r="B3614" t="str">
        <f>HYPERLINK("た/たん　痰喘気自心奇兪　1758　灸ぜつ塩土伝　三宅意安_ページ_1.jpg")</f>
        <v>た/たん　痰喘気自心奇兪　1758　灸ぜつ塩土伝　三宅意安_ページ_1.jpg</v>
      </c>
    </row>
    <row r="3615" spans="1:2" x14ac:dyDescent="0.15">
      <c r="A3615" t="s">
        <v>3588</v>
      </c>
      <c r="B3615" t="str">
        <f>HYPERLINK("た/たん　痰喘気自心奇兪　1758　灸ぜつ塩土伝　三宅意安_ページ_2.jpg")</f>
        <v>た/たん　痰喘気自心奇兪　1758　灸ぜつ塩土伝　三宅意安_ページ_2.jpg</v>
      </c>
    </row>
    <row r="3616" spans="1:2" x14ac:dyDescent="0.15">
      <c r="A3616" t="s">
        <v>3589</v>
      </c>
      <c r="B3616" t="str">
        <f>HYPERLINK("た/たん　痰喘虫積痛　1758　灸ぜつ塩土伝　三宅意安_ページ_1.jpg")</f>
        <v>た/たん　痰喘虫積痛　1758　灸ぜつ塩土伝　三宅意安_ページ_1.jpg</v>
      </c>
    </row>
    <row r="3617" spans="1:2" x14ac:dyDescent="0.15">
      <c r="A3617" t="s">
        <v>3590</v>
      </c>
      <c r="B3617" t="str">
        <f>HYPERLINK("た/たん　痰喘虫積痛　1758　灸ぜつ塩土伝　三宅意安_ページ_2.jpg")</f>
        <v>た/たん　痰喘虫積痛　1758　灸ぜつ塩土伝　三宅意安_ページ_2.jpg</v>
      </c>
    </row>
    <row r="3618" spans="1:2" x14ac:dyDescent="0.15">
      <c r="A3618" t="s">
        <v>3591</v>
      </c>
      <c r="B3618" t="str">
        <f>HYPERLINK("た/たん　痰嗽喘急　1329　扁鵲神応鍼灸玉龍経　元・王国瑞.jpg")</f>
        <v>た/たん　痰嗽喘急　1329　扁鵲神応鍼灸玉龍経　元・王国瑞.jpg</v>
      </c>
    </row>
    <row r="3619" spans="1:2" x14ac:dyDescent="0.15">
      <c r="A3619" t="s">
        <v>3592</v>
      </c>
      <c r="B3619" t="str">
        <f>HYPERLINK("た/たん　痰涎　痰飲　1912年（大正01）　鍼灸手引草　久木田七郎.jpg")</f>
        <v>た/たん　痰涎　痰飲　1912年（大正01）　鍼灸手引草　久木田七郎.jpg</v>
      </c>
    </row>
    <row r="3620" spans="1:2" x14ac:dyDescent="0.15">
      <c r="A3620" t="s">
        <v>3593</v>
      </c>
      <c r="B3620" t="str">
        <f>HYPERLINK("た/たん　痰涎壅盛　1765　鍼法弁惑　藤井秀孟.jpg")</f>
        <v>た/たん　痰涎壅盛　1765　鍼法弁惑　藤井秀孟.jpg</v>
      </c>
    </row>
    <row r="3621" spans="1:2" x14ac:dyDescent="0.15">
      <c r="A3621" t="s">
        <v>3594</v>
      </c>
      <c r="B3621" t="str">
        <f>HYPERLINK("た/たん　痰涎（痰飲 吐沫 余見唾）　1220　鍼灸資生経　王執中_ページ_1.jpg")</f>
        <v>た/たん　痰涎（痰飲 吐沫 余見唾）　1220　鍼灸資生経　王執中_ページ_1.jpg</v>
      </c>
    </row>
    <row r="3622" spans="1:2" x14ac:dyDescent="0.15">
      <c r="A3622" t="s">
        <v>3595</v>
      </c>
      <c r="B3622" t="str">
        <f>HYPERLINK("た/たん　痰涎（痰飲 吐沫 余見唾）　1220　鍼灸資生経　王執中_ページ_2.jpg")</f>
        <v>た/たん　痰涎（痰飲 吐沫 余見唾）　1220　鍼灸資生経　王執中_ページ_2.jpg</v>
      </c>
    </row>
    <row r="3623" spans="1:2" x14ac:dyDescent="0.15">
      <c r="A3623" t="s">
        <v>3596</v>
      </c>
      <c r="B3623" t="str">
        <f>HYPERLINK("た/たん　痰灸法　1594　経脈方寸秘書　曲直瀬道三.jpg")</f>
        <v>た/たん　痰灸法　1594　経脈方寸秘書　曲直瀬道三.jpg</v>
      </c>
    </row>
    <row r="3624" spans="1:2" x14ac:dyDescent="0.15">
      <c r="A3624" t="s">
        <v>3597</v>
      </c>
      <c r="B3624" t="str">
        <f>HYPERLINK("た/たん　痰血　1794　杉山流鍼術　島浦和田一.jpg")</f>
        <v>た/たん　痰血　1794　杉山流鍼術　島浦和田一.jpg</v>
      </c>
    </row>
    <row r="3625" spans="1:2" x14ac:dyDescent="0.15">
      <c r="A3625" t="s">
        <v>3598</v>
      </c>
      <c r="B3625" t="str">
        <f>HYPERLINK("た/たん　痰飮　かすはき　1718　鍼灸重宝記　本郷正豊_ページ_1.jpg")</f>
        <v>た/たん　痰飮　かすはき　1718　鍼灸重宝記　本郷正豊_ページ_1.jpg</v>
      </c>
    </row>
    <row r="3626" spans="1:2" x14ac:dyDescent="0.15">
      <c r="A3626" t="s">
        <v>3599</v>
      </c>
      <c r="B3626" t="str">
        <f>HYPERLINK("た/たん　痰飮　かすはき　1718　鍼灸重宝記　本郷正豊_ページ_2.jpg")</f>
        <v>た/たん　痰飮　かすはき　1718　鍼灸重宝記　本郷正豊_ページ_2.jpg</v>
      </c>
    </row>
    <row r="3627" spans="1:2" x14ac:dyDescent="0.15">
      <c r="A3627" t="s">
        <v>3600</v>
      </c>
      <c r="B3627" t="str">
        <f>HYPERLINK("た/たん　痰飲　1574　兪穴参伍的法　秦宗巴_ページ_1.jpg")</f>
        <v>た/たん　痰飲　1574　兪穴参伍的法　秦宗巴_ページ_1.jpg</v>
      </c>
    </row>
    <row r="3628" spans="1:2" x14ac:dyDescent="0.15">
      <c r="A3628" t="s">
        <v>3601</v>
      </c>
      <c r="B3628" t="str">
        <f>HYPERLINK("た/たん　痰飲　1574　兪穴参伍的法　秦宗巴_ページ_2.jpg")</f>
        <v>た/たん　痰飲　1574　兪穴参伍的法　秦宗巴_ページ_2.jpg</v>
      </c>
    </row>
    <row r="3629" spans="1:2" x14ac:dyDescent="0.15">
      <c r="A3629" t="s">
        <v>3602</v>
      </c>
      <c r="B3629" t="str">
        <f>HYPERLINK("た/たん　痰飲　1607　扁鵲新流鍼書　越齋寿閑.jpg")</f>
        <v>た/たん　痰飲　1607　扁鵲新流鍼書　越齋寿閑.jpg</v>
      </c>
    </row>
    <row r="3630" spans="1:2" x14ac:dyDescent="0.15">
      <c r="A3630" t="s">
        <v>3603</v>
      </c>
      <c r="B3630" t="str">
        <f>HYPERLINK("た/たん　痰飲　1669　鍼灸枢要　山本玄通_ページ_1.jpg")</f>
        <v>た/たん　痰飲　1669　鍼灸枢要　山本玄通_ページ_1.jpg</v>
      </c>
    </row>
    <row r="3631" spans="1:2" x14ac:dyDescent="0.15">
      <c r="A3631" t="s">
        <v>3604</v>
      </c>
      <c r="B3631" t="str">
        <f>HYPERLINK("た/たん　痰飲　1669　鍼灸枢要　山本玄通_ページ_2.jpg")</f>
        <v>た/たん　痰飲　1669　鍼灸枢要　山本玄通_ページ_2.jpg</v>
      </c>
    </row>
    <row r="3632" spans="1:2" x14ac:dyDescent="0.15">
      <c r="A3632" t="s">
        <v>3605</v>
      </c>
      <c r="B3632" t="str">
        <f>HYPERLINK("た/たん　痰飲　1669　鍼灸枢要　山本玄通_ページ_3.jpg")</f>
        <v>た/たん　痰飲　1669　鍼灸枢要　山本玄通_ページ_3.jpg</v>
      </c>
    </row>
    <row r="3633" spans="1:2" x14ac:dyDescent="0.15">
      <c r="A3633" t="s">
        <v>3606</v>
      </c>
      <c r="B3633" t="str">
        <f>HYPERLINK("た/たん　痰飲　1669　鍼灸枢要　山本玄通_ページ_4.jpg")</f>
        <v>た/たん　痰飲　1669　鍼灸枢要　山本玄通_ページ_4.jpg</v>
      </c>
    </row>
    <row r="3634" spans="1:2" x14ac:dyDescent="0.15">
      <c r="A3634" t="s">
        <v>3607</v>
      </c>
      <c r="B3634" t="str">
        <f>HYPERLINK("た/たん　痰飲　1669　鍼灸枢要　山本玄通_ページ_5.jpg")</f>
        <v>た/たん　痰飲　1669　鍼灸枢要　山本玄通_ページ_5.jpg</v>
      </c>
    </row>
    <row r="3635" spans="1:2" x14ac:dyDescent="0.15">
      <c r="A3635" t="s">
        <v>3608</v>
      </c>
      <c r="B3635" t="str">
        <f>HYPERLINK("た/たん　痰飲　1680　鍼灸抜萃　著者未詳.jpg")</f>
        <v>た/たん　痰飲　1680　鍼灸抜萃　著者未詳.jpg</v>
      </c>
    </row>
    <row r="3636" spans="1:2" x14ac:dyDescent="0.15">
      <c r="A3636" t="s">
        <v>3609</v>
      </c>
      <c r="B3636" t="str">
        <f>HYPERLINK("た/たん　痰飲　1693　鍼灸要歌集　安井昌玄_ページ_1.jpg")</f>
        <v>た/たん　痰飲　1693　鍼灸要歌集　安井昌玄_ページ_1.jpg</v>
      </c>
    </row>
    <row r="3637" spans="1:2" x14ac:dyDescent="0.15">
      <c r="A3637" t="s">
        <v>3610</v>
      </c>
      <c r="B3637" t="str">
        <f>HYPERLINK("た/たん　痰飲　1693　鍼灸要歌集　安井昌玄_ページ_2.jpg")</f>
        <v>た/たん　痰飲　1693　鍼灸要歌集　安井昌玄_ページ_2.jpg</v>
      </c>
    </row>
    <row r="3638" spans="1:2" x14ac:dyDescent="0.15">
      <c r="A3638" t="s">
        <v>3611</v>
      </c>
      <c r="B3638" t="str">
        <f>HYPERLINK("た/たん　痰飲　1693　鍼灸要歌集　安井昌玄_ページ_3.jpg")</f>
        <v>た/たん　痰飲　1693　鍼灸要歌集　安井昌玄_ページ_3.jpg</v>
      </c>
    </row>
    <row r="3639" spans="1:2" x14ac:dyDescent="0.15">
      <c r="A3639" t="s">
        <v>3612</v>
      </c>
      <c r="B3639" t="str">
        <f>HYPERLINK("た/たん　痰飲　1693　鍼灸要歌集　安井昌玄_ページ_4.jpg")</f>
        <v>た/たん　痰飲　1693　鍼灸要歌集　安井昌玄_ページ_4.jpg</v>
      </c>
    </row>
    <row r="3640" spans="1:2" x14ac:dyDescent="0.15">
      <c r="A3640" t="s">
        <v>3613</v>
      </c>
      <c r="B3640" t="str">
        <f>HYPERLINK("た/たん　痰飲　1693　鍼灸要歌集　安井昌玄_ページ_5.jpg")</f>
        <v>た/たん　痰飲　1693　鍼灸要歌集　安井昌玄_ページ_5.jpg</v>
      </c>
    </row>
    <row r="3641" spans="1:2" x14ac:dyDescent="0.15">
      <c r="A3641" t="s">
        <v>3614</v>
      </c>
      <c r="B3641" t="str">
        <f>HYPERLINK("た/たん　痰飲　1694　療治之大概集　杉山和一.jpg")</f>
        <v>た/たん　痰飲　1694　療治之大概集　杉山和一.jpg</v>
      </c>
    </row>
    <row r="3642" spans="1:2" x14ac:dyDescent="0.15">
      <c r="A3642" t="s">
        <v>3615</v>
      </c>
      <c r="B3642" t="str">
        <f>HYPERLINK("た/たん　痰飲　1694　鍼灸そかい集　高津敬節_ページ_1.jpg")</f>
        <v>た/たん　痰飲　1694　鍼灸そかい集　高津敬節_ページ_1.jpg</v>
      </c>
    </row>
    <row r="3643" spans="1:2" x14ac:dyDescent="0.15">
      <c r="A3643" t="s">
        <v>3616</v>
      </c>
      <c r="B3643" t="str">
        <f>HYPERLINK("た/たん　痰飲　1694　鍼灸そかい集　高津敬節_ページ_2.jpg")</f>
        <v>た/たん　痰飲　1694　鍼灸そかい集　高津敬節_ページ_2.jpg</v>
      </c>
    </row>
    <row r="3644" spans="1:2" x14ac:dyDescent="0.15">
      <c r="A3644" t="s">
        <v>3617</v>
      </c>
      <c r="B3644" t="str">
        <f>HYPERLINK("た/たん　痰飲　1696　広益鍼灸抜萃　著者未詳_ページ_1.jpg")</f>
        <v>た/たん　痰飲　1696　広益鍼灸抜萃　著者未詳_ページ_1.jpg</v>
      </c>
    </row>
    <row r="3645" spans="1:2" x14ac:dyDescent="0.15">
      <c r="A3645" t="s">
        <v>3618</v>
      </c>
      <c r="B3645" t="str">
        <f>HYPERLINK("た/たん　痰飲　1696　広益鍼灸抜萃　著者未詳_ページ_2.jpg")</f>
        <v>た/たん　痰飲　1696　広益鍼灸抜萃　著者未詳_ページ_2.jpg</v>
      </c>
    </row>
    <row r="3646" spans="1:2" x14ac:dyDescent="0.15">
      <c r="A3646" t="s">
        <v>3619</v>
      </c>
      <c r="B3646" t="str">
        <f>HYPERLINK("た/たん　痰飲　1696　広益鍼灸抜萃　著者未詳_ページ_3.jpg")</f>
        <v>た/たん　痰飲　1696　広益鍼灸抜萃　著者未詳_ページ_3.jpg</v>
      </c>
    </row>
    <row r="3647" spans="1:2" x14ac:dyDescent="0.15">
      <c r="A3647" t="s">
        <v>3620</v>
      </c>
      <c r="B3647" t="str">
        <f>HYPERLINK("た/たん　痰飲　1696　広益鍼灸抜萃　著者未詳_ページ_4.jpg")</f>
        <v>た/たん　痰飲　1696　広益鍼灸抜萃　著者未詳_ページ_4.jpg</v>
      </c>
    </row>
    <row r="3648" spans="1:2" x14ac:dyDescent="0.15">
      <c r="A3648" t="s">
        <v>3621</v>
      </c>
      <c r="B3648" t="str">
        <f>HYPERLINK("た/たん　痰飲　1696　広益鍼灸抜萃　著者未詳_ページ_5.jpg")</f>
        <v>た/たん　痰飲　1696　広益鍼灸抜萃　著者未詳_ページ_5.jpg</v>
      </c>
    </row>
    <row r="3649" spans="1:2" x14ac:dyDescent="0.15">
      <c r="A3649" t="s">
        <v>3622</v>
      </c>
      <c r="B3649" t="str">
        <f>HYPERLINK("た/たん　痰飲　1698　鍼灸抜粋大成　岡本一抱_ページ_1.jpg")</f>
        <v>た/たん　痰飲　1698　鍼灸抜粋大成　岡本一抱_ページ_1.jpg</v>
      </c>
    </row>
    <row r="3650" spans="1:2" x14ac:dyDescent="0.15">
      <c r="A3650" t="s">
        <v>3623</v>
      </c>
      <c r="B3650" t="str">
        <f>HYPERLINK("た/たん　痰飲　1698　鍼灸抜粋大成　岡本一抱_ページ_2.jpg")</f>
        <v>た/たん　痰飲　1698　鍼灸抜粋大成　岡本一抱_ページ_2.jpg</v>
      </c>
    </row>
    <row r="3651" spans="1:2" x14ac:dyDescent="0.15">
      <c r="A3651" t="s">
        <v>3624</v>
      </c>
      <c r="B3651" t="str">
        <f>HYPERLINK("た/たん　痰飲　1758　灸ぜつ塩土伝　三宅意安_ページ_1.jpg")</f>
        <v>た/たん　痰飲　1758　灸ぜつ塩土伝　三宅意安_ページ_1.jpg</v>
      </c>
    </row>
    <row r="3652" spans="1:2" x14ac:dyDescent="0.15">
      <c r="A3652" t="s">
        <v>3625</v>
      </c>
      <c r="B3652" t="str">
        <f>HYPERLINK("た/たん　痰飲　1758　灸ぜつ塩土伝　三宅意安_ページ_2.jpg")</f>
        <v>た/たん　痰飲　1758　灸ぜつ塩土伝　三宅意安_ページ_2.jpg</v>
      </c>
    </row>
    <row r="3653" spans="1:2" x14ac:dyDescent="0.15">
      <c r="A3653" t="s">
        <v>3626</v>
      </c>
      <c r="B3653" t="str">
        <f>HYPERLINK("た/たん　痰飲　1767　鍼灸則　菅沼周桂_ページ_1.jpg")</f>
        <v>た/たん　痰飲　1767　鍼灸則　菅沼周桂_ページ_1.jpg</v>
      </c>
    </row>
    <row r="3654" spans="1:2" x14ac:dyDescent="0.15">
      <c r="A3654" t="s">
        <v>3627</v>
      </c>
      <c r="B3654" t="str">
        <f>HYPERLINK("た/たん　痰飲　1767　鍼灸則　菅沼周桂_ページ_2.jpg")</f>
        <v>た/たん　痰飲　1767　鍼灸則　菅沼周桂_ページ_2.jpg</v>
      </c>
    </row>
    <row r="3655" spans="1:2" x14ac:dyDescent="0.15">
      <c r="A3655" t="s">
        <v>3628</v>
      </c>
      <c r="B3655" t="str">
        <f>HYPERLINK("た/たん　痰飲　1773　鍼灸手引草　大簡室主人_ページ_1.jpg")</f>
        <v>た/たん　痰飲　1773　鍼灸手引草　大簡室主人_ページ_1.jpg</v>
      </c>
    </row>
    <row r="3656" spans="1:2" x14ac:dyDescent="0.15">
      <c r="A3656" t="s">
        <v>3629</v>
      </c>
      <c r="B3656" t="str">
        <f>HYPERLINK("た/たん　痰飲　1773　鍼灸手引草　大簡室主人_ページ_2.jpg")</f>
        <v>た/たん　痰飲　1773　鍼灸手引草　大簡室主人_ページ_2.jpg</v>
      </c>
    </row>
    <row r="3657" spans="1:2" x14ac:dyDescent="0.15">
      <c r="A3657" t="s">
        <v>3630</v>
      </c>
      <c r="B3657" t="str">
        <f>HYPERLINK("た/たん　痰飲　1792　鍼法要集　源長起_ページ_1.jpg")</f>
        <v>た/たん　痰飲　1792　鍼法要集　源長起_ページ_1.jpg</v>
      </c>
    </row>
    <row r="3658" spans="1:2" x14ac:dyDescent="0.15">
      <c r="A3658" t="s">
        <v>3631</v>
      </c>
      <c r="B3658" t="str">
        <f>HYPERLINK("た/たん　痰飲　1792　鍼法要集　源長起_ページ_2.jpg")</f>
        <v>た/たん　痰飲　1792　鍼法要集　源長起_ページ_2.jpg</v>
      </c>
    </row>
    <row r="3659" spans="1:2" x14ac:dyDescent="0.15">
      <c r="A3659" t="s">
        <v>3632</v>
      </c>
      <c r="B3659" t="str">
        <f>HYPERLINK("た/たん　痰飲　1792　鍼法要集　源長起_ページ_3.jpg")</f>
        <v>た/たん　痰飲　1792　鍼法要集　源長起_ページ_3.jpg</v>
      </c>
    </row>
    <row r="3660" spans="1:2" x14ac:dyDescent="0.15">
      <c r="A3660" t="s">
        <v>3633</v>
      </c>
      <c r="B3660" t="str">
        <f>HYPERLINK("た/たん　痰飲　1800　鍼灸備要　小坂元祐_ページ_1.jpg")</f>
        <v>た/たん　痰飲　1800　鍼灸備要　小坂元祐_ページ_1.jpg</v>
      </c>
    </row>
    <row r="3661" spans="1:2" x14ac:dyDescent="0.15">
      <c r="A3661" t="s">
        <v>3634</v>
      </c>
      <c r="B3661" t="str">
        <f>HYPERLINK("た/たん　痰飲　1800　鍼灸備要　小坂元祐_ページ_2.jpg")</f>
        <v>た/たん　痰飲　1800　鍼灸備要　小坂元祐_ページ_2.jpg</v>
      </c>
    </row>
    <row r="3662" spans="1:2" x14ac:dyDescent="0.15">
      <c r="A3662" t="s">
        <v>3635</v>
      </c>
      <c r="B3662" t="str">
        <f>HYPERLINK("た/たん　痰飲　1807　続名家灸選　平井庸信_ページ_1.jpg")</f>
        <v>た/たん　痰飲　1807　続名家灸選　平井庸信_ページ_1.jpg</v>
      </c>
    </row>
    <row r="3663" spans="1:2" x14ac:dyDescent="0.15">
      <c r="A3663" t="s">
        <v>3636</v>
      </c>
      <c r="B3663" t="str">
        <f>HYPERLINK("た/たん　痰飲　1807　続名家灸選　平井庸信_ページ_2.jpg")</f>
        <v>た/たん　痰飲　1807　続名家灸選　平井庸信_ページ_2.jpg</v>
      </c>
    </row>
    <row r="3664" spans="1:2" x14ac:dyDescent="0.15">
      <c r="A3664" t="s">
        <v>3637</v>
      </c>
      <c r="B3664" t="str">
        <f>HYPERLINK("た/たん　痰飲　咳嗽、喘急　1686　鍼灸要法指南　岩田利斎_ページ_1.jpg")</f>
        <v>た/たん　痰飲　咳嗽、喘急　1686　鍼灸要法指南　岩田利斎_ページ_1.jpg</v>
      </c>
    </row>
    <row r="3665" spans="1:2" x14ac:dyDescent="0.15">
      <c r="A3665" t="s">
        <v>3638</v>
      </c>
      <c r="B3665" t="str">
        <f>HYPERLINK("た/たん　痰飲　咳嗽、喘急　1686　鍼灸要法指南　岩田利斎_ページ_2.jpg")</f>
        <v>た/たん　痰飲　咳嗽、喘急　1686　鍼灸要法指南　岩田利斎_ページ_2.jpg</v>
      </c>
    </row>
    <row r="3666" spans="1:2" x14ac:dyDescent="0.15">
      <c r="A3666" t="s">
        <v>3639</v>
      </c>
      <c r="B3666" t="str">
        <f>HYPERLINK("た/たん　痰飲　成書年未詳　灸穴集　著者未詳_ページ_1.jpg")</f>
        <v>た/たん　痰飲　成書年未詳　灸穴集　著者未詳_ページ_1.jpg</v>
      </c>
    </row>
    <row r="3667" spans="1:2" x14ac:dyDescent="0.15">
      <c r="A3667" t="s">
        <v>3640</v>
      </c>
      <c r="B3667" t="str">
        <f>HYPERLINK("た/たん　痰飲　成書年未詳　灸穴集　著者未詳_ページ_2.jpg")</f>
        <v>た/たん　痰飲　成書年未詳　灸穴集　著者未詳_ページ_2.jpg</v>
      </c>
    </row>
    <row r="3668" spans="1:2" x14ac:dyDescent="0.15">
      <c r="A3668" t="s">
        <v>3641</v>
      </c>
      <c r="B3668" t="str">
        <f>HYPERLINK("た/たん　痰飲　成書年未詳　灸穴集　著者未詳_ページ_3.jpg")</f>
        <v>た/たん　痰飲　成書年未詳　灸穴集　著者未詳_ページ_3.jpg</v>
      </c>
    </row>
    <row r="3669" spans="1:2" x14ac:dyDescent="0.15">
      <c r="A3669" t="s">
        <v>3642</v>
      </c>
      <c r="B3669" t="str">
        <f>HYPERLINK("た/たん　痰飲　成書年未詳　灸穴集　著者未詳_ページ_4.jpg")</f>
        <v>た/たん　痰飲　成書年未詳　灸穴集　著者未詳_ページ_4.jpg</v>
      </c>
    </row>
    <row r="3670" spans="1:2" x14ac:dyDescent="0.15">
      <c r="A3670" t="s">
        <v>3643</v>
      </c>
      <c r="B3670" t="str">
        <f>HYPERLINK("た/たん　痰飲　成書年未詳　灸穴集　著者未詳_ページ_5.jpg")</f>
        <v>た/たん　痰飲　成書年未詳　灸穴集　著者未詳_ページ_5.jpg</v>
      </c>
    </row>
    <row r="3671" spans="1:2" x14ac:dyDescent="0.15">
      <c r="A3671" t="s">
        <v>3644</v>
      </c>
      <c r="B3671" t="str">
        <f>HYPERLINK("た/たん　痰飲　成書年未詳　灸穴集　著者未詳_ページ_6.jpg")</f>
        <v>た/たん　痰飲　成書年未詳　灸穴集　著者未詳_ページ_6.jpg</v>
      </c>
    </row>
    <row r="3672" spans="1:2" x14ac:dyDescent="0.15">
      <c r="A3672" t="s">
        <v>3645</v>
      </c>
      <c r="B3672" t="str">
        <f>HYPERLINK("た/たん　痰飲　成書年未詳　灸穴集　著者未詳_ページ_7.jpg")</f>
        <v>た/たん　痰飲　成書年未詳　灸穴集　著者未詳_ページ_7.jpg</v>
      </c>
    </row>
    <row r="3673" spans="1:2" x14ac:dyDescent="0.15">
      <c r="A3673" t="s">
        <v>3646</v>
      </c>
      <c r="B3673" t="str">
        <f>HYPERLINK("た/たん　痰飲　成書年未詳　経穴図解　著者未詳.jpg")</f>
        <v>た/たん　痰飲　成書年未詳　経穴図解　著者未詳.jpg</v>
      </c>
    </row>
    <row r="3674" spans="1:2" x14ac:dyDescent="0.15">
      <c r="A3674" t="s">
        <v>3647</v>
      </c>
      <c r="B3674" t="str">
        <f>HYPERLINK("た/たん　痰飲（たんいん）　りうゐん、又、むねつかへ　慢性加多児（カタル）性胃炎　1887（明治20）　鍼灸備要　青山道醇.jpg")</f>
        <v>た/たん　痰飲（たんいん）　りうゐん、又、むねつかへ　慢性加多児（カタル）性胃炎　1887（明治20）　鍼灸備要　青山道醇.jpg</v>
      </c>
    </row>
    <row r="3675" spans="1:2" x14ac:dyDescent="0.15">
      <c r="A3675" t="s">
        <v>3648</v>
      </c>
      <c r="B3675" t="str">
        <f>HYPERLINK("た/たん　胆寒心驚鬼交白濁　1329　扁鵲神応鍼灸玉龍経　元・王国瑞.jpg")</f>
        <v>た/たん　胆寒心驚鬼交白濁　1329　扁鵲神応鍼灸玉龍経　元・王国瑞.jpg</v>
      </c>
    </row>
    <row r="3676" spans="1:2" x14ac:dyDescent="0.15">
      <c r="A3676" t="s">
        <v>3649</v>
      </c>
      <c r="B3676" t="str">
        <f>HYPERLINK("た/たん　胆虚（胆熱）　1220　鍼灸資生経　王執中.jpg")</f>
        <v>た/たん　胆虚（胆熱）　1220　鍼灸資生経　王執中.jpg</v>
      </c>
    </row>
    <row r="3677" spans="1:2" x14ac:dyDescent="0.15">
      <c r="A3677" t="s">
        <v>3650</v>
      </c>
      <c r="B3677" t="str">
        <f>HYPERLINK("だ/だ　唾　1220　鍼灸資生経　王執中.jpg")</f>
        <v>だ/だ　唾　1220　鍼灸資生経　王執中.jpg</v>
      </c>
    </row>
    <row r="3678" spans="1:2" x14ac:dyDescent="0.15">
      <c r="A3678" t="s">
        <v>3651</v>
      </c>
      <c r="B3678" t="str">
        <f>HYPERLINK("だ/だ　唾血（だけつ）　唾（つば）に交りて血の出る病　口内出血　1887（明治20）　鍼灸備要　青山道醇.jpg")</f>
        <v>だ/だ　唾血（だけつ）　唾（つば）に交りて血の出る病　口内出血　1887（明治20）　鍼灸備要　青山道醇.jpg</v>
      </c>
    </row>
    <row r="3679" spans="1:2" x14ac:dyDescent="0.15">
      <c r="A3679" t="s">
        <v>3652</v>
      </c>
      <c r="B3679" t="str">
        <f>HYPERLINK("だ/だ　唾血（嘔血、吐血）　1220　鍼灸資生経　王執中_ページ_1.jpg")</f>
        <v>だ/だ　唾血（嘔血、吐血）　1220　鍼灸資生経　王執中_ページ_1.jpg</v>
      </c>
    </row>
    <row r="3680" spans="1:2" x14ac:dyDescent="0.15">
      <c r="A3680" t="s">
        <v>3653</v>
      </c>
      <c r="B3680" t="str">
        <f>HYPERLINK("だ/だ　唾血（嘔血、吐血）　1220　鍼灸資生経　王執中_ページ_2.jpg")</f>
        <v>だ/だ　唾血（嘔血、吐血）　1220　鍼灸資生経　王執中_ページ_2.jpg</v>
      </c>
    </row>
    <row r="3681" spans="1:2" x14ac:dyDescent="0.15">
      <c r="A3681" t="s">
        <v>3654</v>
      </c>
      <c r="B3681" t="str">
        <f>HYPERLINK("だ/だ　堕墜　1686　鍼灸要法指南　岩田利斎.jpg")</f>
        <v>だ/だ　堕墜　1686　鍼灸要法指南　岩田利斎.jpg</v>
      </c>
    </row>
    <row r="3682" spans="1:2" x14ac:dyDescent="0.15">
      <c r="A3682" t="s">
        <v>3655</v>
      </c>
      <c r="B3682" t="str">
        <f>HYPERLINK("だ/だ　打撲　1807　続名家灸選　平井庸信.jpg")</f>
        <v>だ/だ　打撲　1807　続名家灸選　平井庸信.jpg</v>
      </c>
    </row>
    <row r="3683" spans="1:2" x14ac:dyDescent="0.15">
      <c r="A3683" t="s">
        <v>3656</v>
      </c>
      <c r="B3683" t="str">
        <f>HYPERLINK("だ/だ　数堕胎　1669　鍼灸枢要　山本玄通_ページ_1.jpg")</f>
        <v>だ/だ　数堕胎　1669　鍼灸枢要　山本玄通_ページ_1.jpg</v>
      </c>
    </row>
    <row r="3684" spans="1:2" x14ac:dyDescent="0.15">
      <c r="A3684" t="s">
        <v>3657</v>
      </c>
      <c r="B3684" t="str">
        <f>HYPERLINK("だ/だ　数堕胎　1669　鍼灸枢要　山本玄通_ページ_2.jpg")</f>
        <v>だ/だ　数堕胎　1669　鍼灸枢要　山本玄通_ページ_2.jpg</v>
      </c>
    </row>
    <row r="3685" spans="1:2" x14ac:dyDescent="0.15">
      <c r="A3685" t="s">
        <v>3658</v>
      </c>
      <c r="B3685" t="str">
        <f>HYPERLINK("だ/だ　数堕胎　1669　鍼灸枢要　山本玄通_ページ_3.jpg")</f>
        <v>だ/だ　数堕胎　1669　鍼灸枢要　山本玄通_ページ_3.jpg</v>
      </c>
    </row>
    <row r="3686" spans="1:2" x14ac:dyDescent="0.15">
      <c r="A3686" t="s">
        <v>3659</v>
      </c>
      <c r="B3686" t="str">
        <f>HYPERLINK("だ/だい　大便　秘結　大小便不通　失屎　1669　鍼灸枢要　山本玄通_ページ_1.jpg")</f>
        <v>だ/だい　大便　秘結　大小便不通　失屎　1669　鍼灸枢要　山本玄通_ページ_1.jpg</v>
      </c>
    </row>
    <row r="3687" spans="1:2" x14ac:dyDescent="0.15">
      <c r="A3687" t="s">
        <v>3660</v>
      </c>
      <c r="B3687" t="str">
        <f>HYPERLINK("だ/だい　大便　秘結　大小便不通　失屎　1669　鍼灸枢要　山本玄通_ページ_2.jpg")</f>
        <v>だ/だい　大便　秘結　大小便不通　失屎　1669　鍼灸枢要　山本玄通_ページ_2.jpg</v>
      </c>
    </row>
    <row r="3688" spans="1:2" x14ac:dyDescent="0.15">
      <c r="A3688" t="s">
        <v>3661</v>
      </c>
      <c r="B3688" t="str">
        <f>HYPERLINK("だ/だい　大便　秘結　大小便不通　失屎　1669　鍼灸枢要　山本玄通_ページ_3.jpg")</f>
        <v>だ/だい　大便　秘結　大小便不通　失屎　1669　鍼灸枢要　山本玄通_ページ_3.jpg</v>
      </c>
    </row>
    <row r="3689" spans="1:2" x14ac:dyDescent="0.15">
      <c r="A3689" t="s">
        <v>3662</v>
      </c>
      <c r="B3689" t="str">
        <f>HYPERLINK("だ/だい　大便　秘結　大小便不通　失屎　1669　鍼灸枢要　山本玄通_ページ_4.jpg")</f>
        <v>だ/だい　大便　秘結　大小便不通　失屎　1669　鍼灸枢要　山本玄通_ページ_4.jpg</v>
      </c>
    </row>
    <row r="3690" spans="1:2" x14ac:dyDescent="0.15">
      <c r="A3690" t="s">
        <v>3663</v>
      </c>
      <c r="B3690" t="str">
        <f>HYPERLINK("だ/だい　大便　秘結　大小便不通　失屎　1669　鍼灸枢要　山本玄通_ページ_5.jpg")</f>
        <v>だ/だい　大便　秘結　大小便不通　失屎　1669　鍼灸枢要　山本玄通_ページ_5.jpg</v>
      </c>
    </row>
    <row r="3691" spans="1:2" x14ac:dyDescent="0.15">
      <c r="A3691" t="s">
        <v>3664</v>
      </c>
      <c r="B3691" t="str">
        <f>HYPERLINK("だ/だい　大便　秘結　大小便不通　失屎　1669　鍼灸枢要　山本玄通_ページ_6.jpg")</f>
        <v>だ/だい　大便　秘結　大小便不通　失屎　1669　鍼灸枢要　山本玄通_ページ_6.jpg</v>
      </c>
    </row>
    <row r="3692" spans="1:2" x14ac:dyDescent="0.15">
      <c r="A3692" t="s">
        <v>3665</v>
      </c>
      <c r="B3692" t="str">
        <f>HYPERLINK("だ/だい　大便不禁（余見泄瀉）　1220　鍼灸資生経　王執中_ページ_1.jpg")</f>
        <v>だ/だい　大便不禁（余見泄瀉）　1220　鍼灸資生経　王執中_ページ_1.jpg</v>
      </c>
    </row>
    <row r="3693" spans="1:2" x14ac:dyDescent="0.15">
      <c r="A3693" t="s">
        <v>3666</v>
      </c>
      <c r="B3693" t="str">
        <f>HYPERLINK("だ/だい　大便不禁（余見泄瀉）　1220　鍼灸資生経　王執中_ページ_2.jpg")</f>
        <v>だ/だい　大便不禁（余見泄瀉）　1220　鍼灸資生経　王執中_ページ_2.jpg</v>
      </c>
    </row>
    <row r="3694" spans="1:2" x14ac:dyDescent="0.15">
      <c r="A3694" t="s">
        <v>3667</v>
      </c>
      <c r="B3694" t="str">
        <f>HYPERLINK("だ/だい　大便不通　1220　鍼灸資生経　王執中.jpg")</f>
        <v>だ/だい　大便不通　1220　鍼灸資生経　王執中.jpg</v>
      </c>
    </row>
    <row r="3695" spans="1:2" x14ac:dyDescent="0.15">
      <c r="A3695" t="s">
        <v>3668</v>
      </c>
      <c r="B3695" t="str">
        <f>HYPERLINK("だ/だい　大便不通　1315　鍼経摘英集　元・杜思敬「済生抜粋方」.jpg")</f>
        <v>だ/だい　大便不通　1315　鍼経摘英集　元・杜思敬「済生抜粋方」.jpg</v>
      </c>
    </row>
    <row r="3696" spans="1:2" x14ac:dyDescent="0.15">
      <c r="A3696" t="s">
        <v>3669</v>
      </c>
      <c r="B3696" t="str">
        <f>HYPERLINK("だ/だい　大便不通　1693　鍼灸要歌集　安井昌玄_ページ_1.jpg")</f>
        <v>だ/だい　大便不通　1693　鍼灸要歌集　安井昌玄_ページ_1.jpg</v>
      </c>
    </row>
    <row r="3697" spans="1:2" x14ac:dyDescent="0.15">
      <c r="A3697" t="s">
        <v>3670</v>
      </c>
      <c r="B3697" t="str">
        <f>HYPERLINK("だ/だい　大便不通　1693　鍼灸要歌集　安井昌玄_ページ_2.jpg")</f>
        <v>だ/だい　大便不通　1693　鍼灸要歌集　安井昌玄_ページ_2.jpg</v>
      </c>
    </row>
    <row r="3698" spans="1:2" x14ac:dyDescent="0.15">
      <c r="A3698" t="s">
        <v>3671</v>
      </c>
      <c r="B3698" t="str">
        <f>HYPERLINK("だ/だい　大便不通　1765　鍼法弁惑　藤井秀孟_ページ_1.jpg")</f>
        <v>だ/だい　大便不通　1765　鍼法弁惑　藤井秀孟_ページ_1.jpg</v>
      </c>
    </row>
    <row r="3699" spans="1:2" x14ac:dyDescent="0.15">
      <c r="A3699" t="s">
        <v>3672</v>
      </c>
      <c r="B3699" t="str">
        <f>HYPERLINK("だ/だい　大便不通　1765　鍼法弁惑　藤井秀孟_ページ_2.jpg")</f>
        <v>だ/だい　大便不通　1765　鍼法弁惑　藤井秀孟_ページ_2.jpg</v>
      </c>
    </row>
    <row r="3700" spans="1:2" x14ac:dyDescent="0.15">
      <c r="A3700" t="s">
        <v>3673</v>
      </c>
      <c r="B3700" t="str">
        <f>HYPERLINK("だ/だい　大便小便不利疾　1574　兪穴参伍的法　秦宗巴.jpg")</f>
        <v>だ/だい　大便小便不利疾　1574　兪穴参伍的法　秦宗巴.jpg</v>
      </c>
    </row>
    <row r="3701" spans="1:2" x14ac:dyDescent="0.15">
      <c r="A3701" t="s">
        <v>3674</v>
      </c>
      <c r="B3701" t="str">
        <f>HYPERLINK("だ/だい　大便秘結　1624　類経図翼　明・張介賓_ページ_1.jpg")</f>
        <v>だ/だい　大便秘結　1624　類経図翼　明・張介賓_ページ_1.jpg</v>
      </c>
    </row>
    <row r="3702" spans="1:2" x14ac:dyDescent="0.15">
      <c r="A3702" t="s">
        <v>3675</v>
      </c>
      <c r="B3702" t="str">
        <f>HYPERLINK("だ/だい　大便秘結　1624　類経図翼　明・張介賓_ページ_2.jpg")</f>
        <v>だ/だい　大便秘結　1624　類経図翼　明・張介賓_ページ_2.jpg</v>
      </c>
    </row>
    <row r="3703" spans="1:2" x14ac:dyDescent="0.15">
      <c r="A3703" t="s">
        <v>3676</v>
      </c>
      <c r="B3703" t="str">
        <f>HYPERLINK("だ/だい　大便秘結　1694　選鍼三要集　杉山和一.jpg")</f>
        <v>だ/だい　大便秘結　1694　選鍼三要集　杉山和一.jpg</v>
      </c>
    </row>
    <row r="3704" spans="1:2" x14ac:dyDescent="0.15">
      <c r="A3704" t="s">
        <v>3677</v>
      </c>
      <c r="B3704" t="str">
        <f>HYPERLINK("だ/だい　大便秘結　1800　鍼灸備要　小坂元祐_ページ_1.jpg")</f>
        <v>だ/だい　大便秘結　1800　鍼灸備要　小坂元祐_ページ_1.jpg</v>
      </c>
    </row>
    <row r="3705" spans="1:2" x14ac:dyDescent="0.15">
      <c r="A3705" t="s">
        <v>3678</v>
      </c>
      <c r="B3705" t="str">
        <f>HYPERLINK("だ/だい　大便秘結　1800　鍼灸備要　小坂元祐_ページ_2.jpg")</f>
        <v>だ/だい　大便秘結　1800　鍼灸備要　小坂元祐_ページ_2.jpg</v>
      </c>
    </row>
    <row r="3706" spans="1:2" x14ac:dyDescent="0.15">
      <c r="A3706" t="s">
        <v>3679</v>
      </c>
      <c r="B3706" t="str">
        <f>HYPERLINK("だ/だい　大便秘結　1912年（大正01）　鍼灸手引草　久木田七郎.jpg")</f>
        <v>だ/だい　大便秘結　1912年（大正01）　鍼灸手引草　久木田七郎.jpg</v>
      </c>
    </row>
    <row r="3707" spans="1:2" x14ac:dyDescent="0.15">
      <c r="A3707" t="s">
        <v>3680</v>
      </c>
      <c r="B3707" t="str">
        <f>HYPERLINK("だ/だい　大便秘結　ふんつまり　大便不通　1887（明治20）　鍼灸備要　青山道醇.jpg")</f>
        <v>だ/だい　大便秘結　ふんつまり　大便不通　1887（明治20）　鍼灸備要　青山道醇.jpg</v>
      </c>
    </row>
    <row r="3708" spans="1:2" x14ac:dyDescent="0.15">
      <c r="A3708" t="s">
        <v>3681</v>
      </c>
      <c r="B3708" t="str">
        <f>HYPERLINK("だ/だい　大便閉　1767　鍼灸則　菅沼周桂.jpg")</f>
        <v>だ/だい　大便閉　1767　鍼灸則　菅沼周桂.jpg</v>
      </c>
    </row>
    <row r="3709" spans="1:2" x14ac:dyDescent="0.15">
      <c r="A3709" t="s">
        <v>3682</v>
      </c>
      <c r="B3709" t="str">
        <f>HYPERLINK("だ/だい　大便閉　1813　名家灸選三編　平井庸信.jpg")</f>
        <v>だ/だい　大便閉　1813　名家灸選三編　平井庸信.jpg</v>
      </c>
    </row>
    <row r="3710" spans="1:2" x14ac:dyDescent="0.15">
      <c r="A3710" t="s">
        <v>3683</v>
      </c>
      <c r="B3710" t="str">
        <f>HYPERLINK("だ/だい　大便閉　大べんつまりて、また久しくせぬ人　1780　鍼灸極秘伝　木村太沖.jpg")</f>
        <v>だ/だい　大便閉　大べんつまりて、また久しくせぬ人　1780　鍼灸極秘伝　木村太沖.jpg</v>
      </c>
    </row>
    <row r="3711" spans="1:2" x14ac:dyDescent="0.15">
      <c r="A3711" t="s">
        <v>3684</v>
      </c>
      <c r="B3711" t="str">
        <f>HYPERLINK("だ/だい　大便閉　秘結　1686　鍼灸要法指南　岩田利斎.jpg")</f>
        <v>だ/だい　大便閉　秘結　1686　鍼灸要法指南　岩田利斎.jpg</v>
      </c>
    </row>
    <row r="3712" spans="1:2" x14ac:dyDescent="0.15">
      <c r="A3712" t="s">
        <v>3685</v>
      </c>
      <c r="B3712" t="str">
        <f>HYPERLINK("だ/だい　大便閉塞　1329　扁鵲神応鍼灸玉龍経　元・王国瑞_ページ_1.jpg")</f>
        <v>だ/だい　大便閉塞　1329　扁鵲神応鍼灸玉龍経　元・王国瑞_ページ_1.jpg</v>
      </c>
    </row>
    <row r="3713" spans="1:2" x14ac:dyDescent="0.15">
      <c r="A3713" t="s">
        <v>3686</v>
      </c>
      <c r="B3713" t="str">
        <f>HYPERLINK("だ/だい　大便閉塞　1329　扁鵲神応鍼灸玉龍経　元・王国瑞_ページ_2.jpg")</f>
        <v>だ/だい　大便閉塞　1329　扁鵲神応鍼灸玉龍経　元・王国瑞_ページ_2.jpg</v>
      </c>
    </row>
    <row r="3714" spans="1:2" x14ac:dyDescent="0.15">
      <c r="A3714" t="s">
        <v>3687</v>
      </c>
      <c r="B3714" t="str">
        <f>HYPERLINK("だ/だい　大便難　1574　兪穴参伍的法　秦宗巴.jpg")</f>
        <v>だ/だい　大便難　1574　兪穴参伍的法　秦宗巴.jpg</v>
      </c>
    </row>
    <row r="3715" spans="1:2" x14ac:dyDescent="0.15">
      <c r="A3715" t="s">
        <v>3688</v>
      </c>
      <c r="B3715" t="str">
        <f>HYPERLINK("だ/だい　大小便　0300　不得大小便　●三焦約内閉発不得大小便　第十　鍼灸甲乙経　皇甫謐.jpg")</f>
        <v>だ/だい　大小便　0300　不得大小便　●三焦約内閉発不得大小便　第十　鍼灸甲乙経　皇甫謐.jpg</v>
      </c>
    </row>
    <row r="3716" spans="1:2" x14ac:dyDescent="0.15">
      <c r="A3716" t="s">
        <v>3689</v>
      </c>
      <c r="B3716" t="str">
        <f>HYPERLINK("だ/だい　大小便不通　1220　鍼灸資生経　王執中_ページ_1.jpg")</f>
        <v>だ/だい　大小便不通　1220　鍼灸資生経　王執中_ページ_1.jpg</v>
      </c>
    </row>
    <row r="3717" spans="1:2" x14ac:dyDescent="0.15">
      <c r="A3717" t="s">
        <v>3690</v>
      </c>
      <c r="B3717" t="str">
        <f>HYPERLINK("だ/だい　大小便不通　1220　鍼灸資生経　王執中_ページ_2.jpg")</f>
        <v>だ/だい　大小便不通　1220　鍼灸資生経　王執中_ページ_2.jpg</v>
      </c>
    </row>
    <row r="3718" spans="1:2" x14ac:dyDescent="0.15">
      <c r="A3718" t="s">
        <v>3691</v>
      </c>
      <c r="B3718" t="str">
        <f>HYPERLINK("だ/だい　大小便不通　1794　杉山流鍼術　島浦和田一_ページ_1.jpg")</f>
        <v>だ/だい　大小便不通　1794　杉山流鍼術　島浦和田一_ページ_1.jpg</v>
      </c>
    </row>
    <row r="3719" spans="1:2" x14ac:dyDescent="0.15">
      <c r="A3719" t="s">
        <v>3692</v>
      </c>
      <c r="B3719" t="str">
        <f>HYPERLINK("だ/だい　大小便不通　1794　杉山流鍼術　島浦和田一_ページ_2.jpg")</f>
        <v>だ/だい　大小便不通　1794　杉山流鍼術　島浦和田一_ページ_2.jpg</v>
      </c>
    </row>
    <row r="3720" spans="1:2" x14ac:dyDescent="0.15">
      <c r="A3720" t="s">
        <v>3693</v>
      </c>
      <c r="B3720" t="str">
        <f>HYPERLINK("だ/だい　大小便病　0650　千金方　孫思ばく_ページ_1.jpg")</f>
        <v>だ/だい　大小便病　0650　千金方　孫思ばく_ページ_1.jpg</v>
      </c>
    </row>
    <row r="3721" spans="1:2" x14ac:dyDescent="0.15">
      <c r="A3721" t="s">
        <v>3694</v>
      </c>
      <c r="B3721" t="str">
        <f>HYPERLINK("だ/だい　大小便病　0650　千金方　孫思ばく_ページ_2.jpg")</f>
        <v>だ/だい　大小便病　0650　千金方　孫思ばく_ページ_2.jpg</v>
      </c>
    </row>
    <row r="3722" spans="1:2" x14ac:dyDescent="0.15">
      <c r="A3722" t="s">
        <v>3695</v>
      </c>
      <c r="B3722" t="str">
        <f>HYPERLINK("だ/だい　大小便病　0650　千金方　孫思ばく_ページ_3.jpg")</f>
        <v>だ/だい　大小便病　0650　千金方　孫思ばく_ページ_3.jpg</v>
      </c>
    </row>
    <row r="3723" spans="1:2" x14ac:dyDescent="0.15">
      <c r="A3723" t="s">
        <v>3696</v>
      </c>
      <c r="B3723" t="str">
        <f>HYPERLINK("だ/だい　大小便秘　1765　鍼法弁惑　藤井秀孟_ページ_1.jpg")</f>
        <v>だ/だい　大小便秘　1765　鍼法弁惑　藤井秀孟_ページ_1.jpg</v>
      </c>
    </row>
    <row r="3724" spans="1:2" x14ac:dyDescent="0.15">
      <c r="A3724" t="s">
        <v>3697</v>
      </c>
      <c r="B3724" t="str">
        <f>HYPERLINK("だ/だい　大小便秘　1765　鍼法弁惑　藤井秀孟_ページ_2.jpg")</f>
        <v>だ/だい　大小便秘　1765　鍼法弁惑　藤井秀孟_ページ_2.jpg</v>
      </c>
    </row>
    <row r="3725" spans="1:2" x14ac:dyDescent="0.15">
      <c r="A3725" t="s">
        <v>3698</v>
      </c>
      <c r="B3725" t="str">
        <f>HYPERLINK("だ/だい　大小便閉　1686　鍼灸要法指南　岩田利斎.jpg")</f>
        <v>だ/だい　大小便閉　1686　鍼灸要法指南　岩田利斎.jpg</v>
      </c>
    </row>
    <row r="3726" spans="1:2" x14ac:dyDescent="0.15">
      <c r="A3726" t="s">
        <v>3699</v>
      </c>
      <c r="B3726" t="str">
        <f>HYPERLINK("だ/だい　大風癩　1299　続添要穴集　惟宗時俊_ページ_1.jpg")</f>
        <v>だ/だい　大風癩　1299　続添要穴集　惟宗時俊_ページ_1.jpg</v>
      </c>
    </row>
    <row r="3727" spans="1:2" x14ac:dyDescent="0.15">
      <c r="A3727" t="s">
        <v>3700</v>
      </c>
      <c r="B3727" t="str">
        <f>HYPERLINK("だ/だい　大風癩　1299　続添要穴集　惟宗時俊_ページ_2.jpg")</f>
        <v>だ/だい　大風癩　1299　続添要穴集　惟宗時俊_ページ_2.jpg</v>
      </c>
    </row>
    <row r="3728" spans="1:2" x14ac:dyDescent="0.15">
      <c r="A3728" t="s">
        <v>3701</v>
      </c>
      <c r="B3728" t="str">
        <f>HYPERLINK("だ/だく　濁証　1669　鍼灸枢要　山本玄通_ページ_1.jpg")</f>
        <v>だ/だく　濁証　1669　鍼灸枢要　山本玄通_ページ_1.jpg</v>
      </c>
    </row>
    <row r="3729" spans="1:2" x14ac:dyDescent="0.15">
      <c r="A3729" t="s">
        <v>3702</v>
      </c>
      <c r="B3729" t="str">
        <f>HYPERLINK("だ/だく　濁証　1669　鍼灸枢要　山本玄通_ページ_2.jpg")</f>
        <v>だ/だく　濁証　1669　鍼灸枢要　山本玄通_ページ_2.jpg</v>
      </c>
    </row>
    <row r="3730" spans="1:2" x14ac:dyDescent="0.15">
      <c r="A3730" t="s">
        <v>3703</v>
      </c>
      <c r="B3730" t="str">
        <f>HYPERLINK("だ/だく　濁証　1669　鍼灸枢要　山本玄通_ページ_3.jpg")</f>
        <v>だ/だく　濁証　1669　鍼灸枢要　山本玄通_ページ_3.jpg</v>
      </c>
    </row>
    <row r="3731" spans="1:2" x14ac:dyDescent="0.15">
      <c r="A3731" t="s">
        <v>3704</v>
      </c>
      <c r="B3731" t="str">
        <f>HYPERLINK("だ/だつ　脱肛　1220　鍼灸資生経　王執中_ページ_1.jpg")</f>
        <v>だ/だつ　脱肛　1220　鍼灸資生経　王執中_ページ_1.jpg</v>
      </c>
    </row>
    <row r="3732" spans="1:2" x14ac:dyDescent="0.15">
      <c r="A3732" t="s">
        <v>3705</v>
      </c>
      <c r="B3732" t="str">
        <f>HYPERLINK("だ/だつ　脱肛　1220　鍼灸資生経　王執中_ページ_2.jpg")</f>
        <v>だ/だつ　脱肛　1220　鍼灸資生経　王執中_ページ_2.jpg</v>
      </c>
    </row>
    <row r="3733" spans="1:2" x14ac:dyDescent="0.15">
      <c r="A3733" t="s">
        <v>3706</v>
      </c>
      <c r="B3733" t="str">
        <f>HYPERLINK("だ/だつ　脱肛　1315　鍼経摘英集　元・杜思敬「済生抜粋方」.jpg")</f>
        <v>だ/だつ　脱肛　1315　鍼経摘英集　元・杜思敬「済生抜粋方」.jpg</v>
      </c>
    </row>
    <row r="3734" spans="1:2" x14ac:dyDescent="0.15">
      <c r="A3734" t="s">
        <v>3707</v>
      </c>
      <c r="B3734" t="str">
        <f>HYPERLINK("だ/だつ　脱肛　1563　鍼灸集要　曲直瀬道三.jpg")</f>
        <v>だ/だつ　脱肛　1563　鍼灸集要　曲直瀬道三.jpg</v>
      </c>
    </row>
    <row r="3735" spans="1:2" x14ac:dyDescent="0.15">
      <c r="A3735" t="s">
        <v>3708</v>
      </c>
      <c r="B3735" t="str">
        <f>HYPERLINK("だ/だつ　脱肛　1574　兪穴参伍的法　秦宗巴.jpg")</f>
        <v>だ/だつ　脱肛　1574　兪穴参伍的法　秦宗巴.jpg</v>
      </c>
    </row>
    <row r="3736" spans="1:2" x14ac:dyDescent="0.15">
      <c r="A3736" t="s">
        <v>3709</v>
      </c>
      <c r="B3736" t="str">
        <f>HYPERLINK("だ/だつ　脱肛　1607　扁鵲新流鍼書　越齋寿閑.jpg")</f>
        <v>だ/だつ　脱肛　1607　扁鵲新流鍼書　越齋寿閑.jpg</v>
      </c>
    </row>
    <row r="3737" spans="1:2" x14ac:dyDescent="0.15">
      <c r="A3737" t="s">
        <v>3710</v>
      </c>
      <c r="B3737" t="str">
        <f>HYPERLINK("だ/だつ　脱肛　1624　類経図翼　明・張介賓_ページ_1.jpg")</f>
        <v>だ/だつ　脱肛　1624　類経図翼　明・張介賓_ページ_1.jpg</v>
      </c>
    </row>
    <row r="3738" spans="1:2" x14ac:dyDescent="0.15">
      <c r="A3738" t="s">
        <v>3711</v>
      </c>
      <c r="B3738" t="str">
        <f>HYPERLINK("だ/だつ　脱肛　1624　類経図翼　明・張介賓_ページ_2.jpg")</f>
        <v>だ/だつ　脱肛　1624　類経図翼　明・張介賓_ページ_2.jpg</v>
      </c>
    </row>
    <row r="3739" spans="1:2" x14ac:dyDescent="0.15">
      <c r="A3739" t="s">
        <v>3712</v>
      </c>
      <c r="B3739" t="str">
        <f>HYPERLINK("だ/だつ　脱肛　1669　鍼灸枢要　山本玄通_ページ_1.jpg")</f>
        <v>だ/だつ　脱肛　1669　鍼灸枢要　山本玄通_ページ_1.jpg</v>
      </c>
    </row>
    <row r="3740" spans="1:2" x14ac:dyDescent="0.15">
      <c r="A3740" t="s">
        <v>3713</v>
      </c>
      <c r="B3740" t="str">
        <f>HYPERLINK("だ/だつ　脱肛　1669　鍼灸枢要　山本玄通_ページ_2.jpg")</f>
        <v>だ/だつ　脱肛　1669　鍼灸枢要　山本玄通_ページ_2.jpg</v>
      </c>
    </row>
    <row r="3741" spans="1:2" x14ac:dyDescent="0.15">
      <c r="A3741" t="s">
        <v>3714</v>
      </c>
      <c r="B3741" t="str">
        <f>HYPERLINK("だ/だつ　脱肛　1669　鍼灸枢要　山本玄通_ページ_3.jpg")</f>
        <v>だ/だつ　脱肛　1669　鍼灸枢要　山本玄通_ページ_3.jpg</v>
      </c>
    </row>
    <row r="3742" spans="1:2" x14ac:dyDescent="0.15">
      <c r="A3742" t="s">
        <v>3715</v>
      </c>
      <c r="B3742" t="str">
        <f>HYPERLINK("だ/だつ　脱肛　1680　鍼灸抜萃　著者未詳.jpg")</f>
        <v>だ/だつ　脱肛　1680　鍼灸抜萃　著者未詳.jpg</v>
      </c>
    </row>
    <row r="3743" spans="1:2" x14ac:dyDescent="0.15">
      <c r="A3743" t="s">
        <v>3716</v>
      </c>
      <c r="B3743" t="str">
        <f>HYPERLINK("だ/だつ　脱肛　1686　鍼灸要法指南　岩田利斎.jpg")</f>
        <v>だ/だつ　脱肛　1686　鍼灸要法指南　岩田利斎.jpg</v>
      </c>
    </row>
    <row r="3744" spans="1:2" x14ac:dyDescent="0.15">
      <c r="A3744" t="s">
        <v>3717</v>
      </c>
      <c r="B3744" t="str">
        <f>HYPERLINK("だ/だつ　脱肛　1693　鍼灸要歌集　安井昌玄.jpg")</f>
        <v>だ/だつ　脱肛　1693　鍼灸要歌集　安井昌玄.jpg</v>
      </c>
    </row>
    <row r="3745" spans="1:2" x14ac:dyDescent="0.15">
      <c r="A3745" t="s">
        <v>3718</v>
      </c>
      <c r="B3745" t="str">
        <f>HYPERLINK("だ/だつ　脱肛　1694　肛門の出る病の事　療治之大概集　杉山和一.jpg")</f>
        <v>だ/だつ　脱肛　1694　肛門の出る病の事　療治之大概集　杉山和一.jpg</v>
      </c>
    </row>
    <row r="3746" spans="1:2" x14ac:dyDescent="0.15">
      <c r="A3746" t="s">
        <v>3719</v>
      </c>
      <c r="B3746" t="str">
        <f>HYPERLINK("だ/だつ　脱肛　1694　選鍼三要集　杉山和一.jpg")</f>
        <v>だ/だつ　脱肛　1694　選鍼三要集　杉山和一.jpg</v>
      </c>
    </row>
    <row r="3747" spans="1:2" x14ac:dyDescent="0.15">
      <c r="A3747" t="s">
        <v>3720</v>
      </c>
      <c r="B3747" t="str">
        <f>HYPERLINK("だ/だつ　脱肛　1694　鍼灸そかい集　高津敬節.jpg")</f>
        <v>だ/だつ　脱肛　1694　鍼灸そかい集　高津敬節.jpg</v>
      </c>
    </row>
    <row r="3748" spans="1:2" x14ac:dyDescent="0.15">
      <c r="A3748" t="s">
        <v>3721</v>
      </c>
      <c r="B3748" t="str">
        <f>HYPERLINK("だ/だつ　脱肛　1696　広益鍼灸抜萃　著者未詳.jpg")</f>
        <v>だ/だつ　脱肛　1696　広益鍼灸抜萃　著者未詳.jpg</v>
      </c>
    </row>
    <row r="3749" spans="1:2" x14ac:dyDescent="0.15">
      <c r="A3749" t="s">
        <v>3722</v>
      </c>
      <c r="B3749" t="str">
        <f>HYPERLINK("だ/だつ　脱肛　1698　鍼灸抜粋大成　岡本一抱.jpg")</f>
        <v>だ/だつ　脱肛　1698　鍼灸抜粋大成　岡本一抱.jpg</v>
      </c>
    </row>
    <row r="3750" spans="1:2" x14ac:dyDescent="0.15">
      <c r="A3750" t="s">
        <v>3723</v>
      </c>
      <c r="B3750" t="str">
        <f>HYPERLINK("だ/だつ　脱肛　1718　鍼灸重宝記　本郷正豊.jpg")</f>
        <v>だ/だつ　脱肛　1718　鍼灸重宝記　本郷正豊.jpg</v>
      </c>
    </row>
    <row r="3751" spans="1:2" x14ac:dyDescent="0.15">
      <c r="A3751" t="s">
        <v>3724</v>
      </c>
      <c r="B3751" t="str">
        <f>HYPERLINK("だ/だつ　脱肛　1767　鍼灸則　菅沼周桂.jpg")</f>
        <v>だ/だつ　脱肛　1767　鍼灸則　菅沼周桂.jpg</v>
      </c>
    </row>
    <row r="3752" spans="1:2" x14ac:dyDescent="0.15">
      <c r="A3752" t="s">
        <v>3725</v>
      </c>
      <c r="B3752" t="str">
        <f>HYPERLINK("だ/だつ　脱肛　1773　鍼灸手引草　大簡室主人_ページ_1.jpg")</f>
        <v>だ/だつ　脱肛　1773　鍼灸手引草　大簡室主人_ページ_1.jpg</v>
      </c>
    </row>
    <row r="3753" spans="1:2" x14ac:dyDescent="0.15">
      <c r="A3753" t="s">
        <v>3726</v>
      </c>
      <c r="B3753" t="str">
        <f>HYPERLINK("だ/だつ　脱肛　1773　鍼灸手引草　大簡室主人_ページ_2.jpg")</f>
        <v>だ/だつ　脱肛　1773　鍼灸手引草　大簡室主人_ページ_2.jpg</v>
      </c>
    </row>
    <row r="3754" spans="1:2" x14ac:dyDescent="0.15">
      <c r="A3754" t="s">
        <v>3727</v>
      </c>
      <c r="B3754" t="str">
        <f>HYPERLINK("だ/だつ　脱肛　1792　鍼法要集　源長起_ページ_1.jpg")</f>
        <v>だ/だつ　脱肛　1792　鍼法要集　源長起_ページ_1.jpg</v>
      </c>
    </row>
    <row r="3755" spans="1:2" x14ac:dyDescent="0.15">
      <c r="A3755" t="s">
        <v>3728</v>
      </c>
      <c r="B3755" t="str">
        <f>HYPERLINK("だ/だつ　脱肛　1792　鍼法要集　源長起_ページ_2.jpg")</f>
        <v>だ/だつ　脱肛　1792　鍼法要集　源長起_ページ_2.jpg</v>
      </c>
    </row>
    <row r="3756" spans="1:2" x14ac:dyDescent="0.15">
      <c r="A3756" t="s">
        <v>3729</v>
      </c>
      <c r="B3756" t="str">
        <f>HYPERLINK("だ/だつ　脱肛　1794　杉山流鍼術　島浦和田一_ページ_1.jpg")</f>
        <v>だ/だつ　脱肛　1794　杉山流鍼術　島浦和田一_ページ_1.jpg</v>
      </c>
    </row>
    <row r="3757" spans="1:2" x14ac:dyDescent="0.15">
      <c r="A3757" t="s">
        <v>3730</v>
      </c>
      <c r="B3757" t="str">
        <f>HYPERLINK("だ/だつ　脱肛　1794　杉山流鍼術　島浦和田一_ページ_2.jpg")</f>
        <v>だ/だつ　脱肛　1794　杉山流鍼術　島浦和田一_ページ_2.jpg</v>
      </c>
    </row>
    <row r="3758" spans="1:2" x14ac:dyDescent="0.15">
      <c r="A3758" t="s">
        <v>3731</v>
      </c>
      <c r="B3758" t="str">
        <f>HYPERLINK("だ/だつ　脱肛　1800　鍼灸備要　小坂元祐_ページ_1.jpg")</f>
        <v>だ/だつ　脱肛　1800　鍼灸備要　小坂元祐_ページ_1.jpg</v>
      </c>
    </row>
    <row r="3759" spans="1:2" x14ac:dyDescent="0.15">
      <c r="A3759" t="s">
        <v>3732</v>
      </c>
      <c r="B3759" t="str">
        <f>HYPERLINK("だ/だつ　脱肛　1800　鍼灸備要　小坂元祐_ページ_2.jpg")</f>
        <v>だ/だつ　脱肛　1800　鍼灸備要　小坂元祐_ページ_2.jpg</v>
      </c>
    </row>
    <row r="3760" spans="1:2" x14ac:dyDescent="0.15">
      <c r="A3760" t="s">
        <v>3733</v>
      </c>
      <c r="B3760" t="str">
        <f>HYPERLINK("だ/だつ　脱肛　1887（明治20）　だつこ　直腸脱　鍼灸備要　青山道醇.jpg")</f>
        <v>だ/だつ　脱肛　1887（明治20）　だつこ　直腸脱　鍼灸備要　青山道醇.jpg</v>
      </c>
    </row>
    <row r="3761" spans="1:2" x14ac:dyDescent="0.15">
      <c r="A3761" t="s">
        <v>3734</v>
      </c>
      <c r="B3761" t="str">
        <f>HYPERLINK("だ/だつ　脱肛或鼻塞之針穴　1613　古今集鍼法　長生庵了味か.jpg")</f>
        <v>だ/だつ　脱肛或鼻塞之針穴　1613　古今集鍼法　長生庵了味か.jpg</v>
      </c>
    </row>
    <row r="3762" spans="1:2" x14ac:dyDescent="0.15">
      <c r="A3762" t="s">
        <v>3735</v>
      </c>
      <c r="B3762" t="str">
        <f>HYPERLINK("だ/だつ　脱肛（小児）　1669　鍼灸枢要　山本玄通.jpg")</f>
        <v>だ/だつ　脱肛（小児）　1669　鍼灸枢要　山本玄通.jpg</v>
      </c>
    </row>
    <row r="3763" spans="1:2" x14ac:dyDescent="0.15">
      <c r="A3763" t="s">
        <v>3736</v>
      </c>
      <c r="B3763" t="str">
        <f>HYPERLINK("だ/だん　断産　1686　鍼灸要法指南　岩田利斎.jpg")</f>
        <v>だ/だん　断産　1686　鍼灸要法指南　岩田利斎.jpg</v>
      </c>
    </row>
    <row r="3764" spans="1:2" x14ac:dyDescent="0.15">
      <c r="A3764" t="s">
        <v>3737</v>
      </c>
      <c r="B3764" t="str">
        <f>HYPERLINK("だ/だん　断産法　1693　鍼灸要歌集　安井昌玄_ページ_1.jpg")</f>
        <v>だ/だん　断産法　1693　鍼灸要歌集　安井昌玄_ページ_1.jpg</v>
      </c>
    </row>
    <row r="3765" spans="1:2" x14ac:dyDescent="0.15">
      <c r="A3765" t="s">
        <v>3738</v>
      </c>
      <c r="B3765" t="str">
        <f>HYPERLINK("だ/だん　断産法　1693　鍼灸要歌集　安井昌玄_ページ_2.jpg")</f>
        <v>だ/だん　断産法　1693　鍼灸要歌集　安井昌玄_ページ_2.jpg</v>
      </c>
    </row>
    <row r="3766" spans="1:2" x14ac:dyDescent="0.15">
      <c r="A3766" t="s">
        <v>3739</v>
      </c>
      <c r="B3766" t="str">
        <f>HYPERLINK("だ/だん　断産灸法　成書年未詳　灸穴集　著者未詳.jpg")</f>
        <v>だ/だん　断産灸法　成書年未詳　灸穴集　著者未詳.jpg</v>
      </c>
    </row>
    <row r="3767" spans="1:2" x14ac:dyDescent="0.15">
      <c r="A3767" t="s">
        <v>3740</v>
      </c>
      <c r="B3767" t="str">
        <f>HYPERLINK("だ/だん　男子元蔵発動，臍下痛不可忍　1315　鍼経摘英集　元・杜思敬「済生抜粋方」.jpg")</f>
        <v>だ/だん　男子元蔵発動，臍下痛不可忍　1315　鍼経摘英集　元・杜思敬「済生抜粋方」.jpg</v>
      </c>
    </row>
    <row r="3768" spans="1:2" x14ac:dyDescent="0.15">
      <c r="A3768" t="s">
        <v>3741</v>
      </c>
      <c r="B3768" t="str">
        <f>HYPERLINK("だ/だん　男子卒疝少腹痛不可忍　1315　鍼経摘英集　元・杜思敬「済生抜粋方」_ページ_1.jpg")</f>
        <v>だ/だん　男子卒疝少腹痛不可忍　1315　鍼経摘英集　元・杜思敬「済生抜粋方」_ページ_1.jpg</v>
      </c>
    </row>
    <row r="3769" spans="1:2" x14ac:dyDescent="0.15">
      <c r="A3769" t="s">
        <v>3742</v>
      </c>
      <c r="B3769" t="str">
        <f>HYPERLINK("だ/だん　男子卒疝少腹痛不可忍　1315　鍼経摘英集　元・杜思敬「済生抜粋方」_ページ_2.jpg")</f>
        <v>だ/だん　男子卒疝少腹痛不可忍　1315　鍼経摘英集　元・杜思敬「済生抜粋方」_ページ_2.jpg</v>
      </c>
    </row>
    <row r="3770" spans="1:2" x14ac:dyDescent="0.15">
      <c r="A3770" t="s">
        <v>3743</v>
      </c>
      <c r="B3770" t="str">
        <f>HYPERLINK("だ/だん　男子婦人血結胸，面赤，大燥口乾，しょう渇，胸中疼痛不可忍者　1315　鍼経摘英集　元・杜思敬「済生抜粋方」_ページ_1.jpg")</f>
        <v>だ/だん　男子婦人血結胸，面赤，大燥口乾，しょう渇，胸中疼痛不可忍者　1315　鍼経摘英集　元・杜思敬「済生抜粋方」_ページ_1.jpg</v>
      </c>
    </row>
    <row r="3771" spans="1:2" x14ac:dyDescent="0.15">
      <c r="A3771" t="s">
        <v>3744</v>
      </c>
      <c r="B3771" t="str">
        <f>HYPERLINK("だ/だん　男子婦人血結胸，面赤，大燥口乾，しょう渇，胸中疼痛不可忍者　1315　鍼経摘英集　元・杜思敬「済生抜粋方」_ページ_2.jpg")</f>
        <v>だ/だん　男子婦人血結胸，面赤，大燥口乾，しょう渇，胸中疼痛不可忍者　1315　鍼経摘英集　元・杜思敬「済生抜粋方」_ページ_2.jpg</v>
      </c>
    </row>
    <row r="3772" spans="1:2" x14ac:dyDescent="0.15">
      <c r="A3772" t="s">
        <v>3745</v>
      </c>
      <c r="B3772" t="str">
        <f>HYPERLINK("だ/だん　男子臓気虚憊，真気不足，一切気疾久不差，不思飲食，全無気力　1315　鍼経摘英集　元・杜思敬「済生抜粋方」.jpg")</f>
        <v>だ/だん　男子臓気虚憊，真気不足，一切気疾久不差，不思飲食，全無気力　1315　鍼経摘英集　元・杜思敬「済生抜粋方」.jpg</v>
      </c>
    </row>
    <row r="3773" spans="1:2" x14ac:dyDescent="0.15">
      <c r="A3773" t="s">
        <v>3746</v>
      </c>
      <c r="B3773" t="str">
        <f>HYPERLINK("ち/ち　癡呆　1329　扁鵲神応鍼灸玉龍経　元・王国瑞.jpg")</f>
        <v>ち/ち　癡呆　1329　扁鵲神応鍼灸玉龍経　元・王国瑞.jpg</v>
      </c>
    </row>
    <row r="3774" spans="1:2" x14ac:dyDescent="0.15">
      <c r="A3774" t="s">
        <v>3747</v>
      </c>
      <c r="B3774" t="str">
        <f>HYPERLINK("ち/ち　血之道　1693　鍼灸要歌集　安井昌玄.jpg")</f>
        <v>ち/ち　血之道　1693　鍼灸要歌集　安井昌玄.jpg</v>
      </c>
    </row>
    <row r="3775" spans="1:2" x14ac:dyDescent="0.15">
      <c r="A3775" t="s">
        <v>3748</v>
      </c>
      <c r="B3775" t="str">
        <f>HYPERLINK("ち/ち　血止之針穴　1613　古今集鍼法　長生庵了味か.jpg")</f>
        <v>ち/ち　血止之針穴　1613　古今集鍼法　長生庵了味か.jpg</v>
      </c>
    </row>
    <row r="3776" spans="1:2" x14ac:dyDescent="0.15">
      <c r="A3776" t="s">
        <v>3749</v>
      </c>
      <c r="B3776" t="str">
        <f>HYPERLINK("ち/ち　血道　ちのみち　1686　鍼灸要法指南　岩田利斎.jpg")</f>
        <v>ち/ち　血道　ちのみち　1686　鍼灸要法指南　岩田利斎.jpg</v>
      </c>
    </row>
    <row r="3777" spans="1:2" x14ac:dyDescent="0.15">
      <c r="A3777" t="s">
        <v>3750</v>
      </c>
      <c r="B3777" t="str">
        <f>HYPERLINK("ち/ちく　畜血　1537　鍼灸聚英　明・高武.jpg")</f>
        <v>ち/ちく　畜血　1537　鍼灸聚英　明・高武.jpg</v>
      </c>
    </row>
    <row r="3778" spans="1:2" x14ac:dyDescent="0.15">
      <c r="A3778" t="s">
        <v>3751</v>
      </c>
      <c r="B3778" t="str">
        <f>HYPERLINK("ち/ちゅう　ちゅう蛙牙　1765　鍼法弁惑　藤井秀孟_ページ_1.jpg")</f>
        <v>ち/ちゅう　ちゅう蛙牙　1765　鍼法弁惑　藤井秀孟_ページ_1.jpg</v>
      </c>
    </row>
    <row r="3779" spans="1:2" x14ac:dyDescent="0.15">
      <c r="A3779" t="s">
        <v>3752</v>
      </c>
      <c r="B3779" t="str">
        <f>HYPERLINK("ち/ちゅう　ちゅう蛙牙　1765　鍼法弁惑　藤井秀孟_ページ_2.jpg")</f>
        <v>ち/ちゅう　ちゅう蛙牙　1765　鍼法弁惑　藤井秀孟_ページ_2.jpg</v>
      </c>
    </row>
    <row r="3780" spans="1:2" x14ac:dyDescent="0.15">
      <c r="A3780" t="s">
        <v>3753</v>
      </c>
      <c r="B3780" t="str">
        <f>HYPERLINK("ち/ちゅう　中寒　1669　鍼灸枢要　山本玄通_ページ_1.jpg")</f>
        <v>ち/ちゅう　中寒　1669　鍼灸枢要　山本玄通_ページ_1.jpg</v>
      </c>
    </row>
    <row r="3781" spans="1:2" x14ac:dyDescent="0.15">
      <c r="A3781" t="s">
        <v>3754</v>
      </c>
      <c r="B3781" t="str">
        <f>HYPERLINK("ち/ちゅう　中寒　1669　鍼灸枢要　山本玄通_ページ_2.jpg")</f>
        <v>ち/ちゅう　中寒　1669　鍼灸枢要　山本玄通_ページ_2.jpg</v>
      </c>
    </row>
    <row r="3782" spans="1:2" x14ac:dyDescent="0.15">
      <c r="A3782" t="s">
        <v>3755</v>
      </c>
      <c r="B3782" t="str">
        <f>HYPERLINK("ち/ちゅう　中寒　1669　鍼灸枢要　山本玄通_ページ_3.jpg")</f>
        <v>ち/ちゅう　中寒　1669　鍼灸枢要　山本玄通_ページ_3.jpg</v>
      </c>
    </row>
    <row r="3783" spans="1:2" x14ac:dyDescent="0.15">
      <c r="A3783" t="s">
        <v>3756</v>
      </c>
      <c r="B3783" t="str">
        <f>HYPERLINK("ち/ちゅう　中寒　1686　鍼灸要法指南　岩田利斎.jpg")</f>
        <v>ち/ちゅう　中寒　1686　鍼灸要法指南　岩田利斎.jpg</v>
      </c>
    </row>
    <row r="3784" spans="1:2" x14ac:dyDescent="0.15">
      <c r="A3784" t="s">
        <v>3757</v>
      </c>
      <c r="B3784" t="str">
        <f>HYPERLINK("ち/ちゅう　中寒　1693　鍼灸要歌集　安井昌玄_ページ_1.jpg")</f>
        <v>ち/ちゅう　中寒　1693　鍼灸要歌集　安井昌玄_ページ_1.jpg</v>
      </c>
    </row>
    <row r="3785" spans="1:2" x14ac:dyDescent="0.15">
      <c r="A3785" t="s">
        <v>3758</v>
      </c>
      <c r="B3785" t="str">
        <f>HYPERLINK("ち/ちゅう　中寒　1693　鍼灸要歌集　安井昌玄_ページ_2.jpg")</f>
        <v>ち/ちゅう　中寒　1693　鍼灸要歌集　安井昌玄_ページ_2.jpg</v>
      </c>
    </row>
    <row r="3786" spans="1:2" x14ac:dyDescent="0.15">
      <c r="A3786" t="s">
        <v>3759</v>
      </c>
      <c r="B3786" t="str">
        <f>HYPERLINK("ち/ちゅう　中寒　1698　鍼灸抜粋大成　岡本一抱_ページ_1.jpg")</f>
        <v>ち/ちゅう　中寒　1698　鍼灸抜粋大成　岡本一抱_ページ_1.jpg</v>
      </c>
    </row>
    <row r="3787" spans="1:2" x14ac:dyDescent="0.15">
      <c r="A3787" t="s">
        <v>3760</v>
      </c>
      <c r="B3787" t="str">
        <f>HYPERLINK("ち/ちゅう　中寒　1698　鍼灸抜粋大成　岡本一抱_ページ_2.jpg")</f>
        <v>ち/ちゅう　中寒　1698　鍼灸抜粋大成　岡本一抱_ページ_2.jpg</v>
      </c>
    </row>
    <row r="3788" spans="1:2" x14ac:dyDescent="0.15">
      <c r="A3788" t="s">
        <v>3761</v>
      </c>
      <c r="B3788" t="str">
        <f>HYPERLINK("ち/ちゅう　中寒　1767　鍼灸則　菅沼周桂_ページ_1.jpg")</f>
        <v>ち/ちゅう　中寒　1767　鍼灸則　菅沼周桂_ページ_1.jpg</v>
      </c>
    </row>
    <row r="3789" spans="1:2" x14ac:dyDescent="0.15">
      <c r="A3789" t="s">
        <v>3762</v>
      </c>
      <c r="B3789" t="str">
        <f>HYPERLINK("ち/ちゅう　中寒　1767　鍼灸則　菅沼周桂_ページ_2.jpg")</f>
        <v>ち/ちゅう　中寒　1767　鍼灸則　菅沼周桂_ページ_2.jpg</v>
      </c>
    </row>
    <row r="3790" spans="1:2" x14ac:dyDescent="0.15">
      <c r="A3790" t="s">
        <v>3763</v>
      </c>
      <c r="B3790" t="str">
        <f>HYPERLINK("ち/ちゅう　中寒　1773　鍼灸手引草　大簡室主人.jpg")</f>
        <v>ち/ちゅう　中寒　1773　鍼灸手引草　大簡室主人.jpg</v>
      </c>
    </row>
    <row r="3791" spans="1:2" x14ac:dyDescent="0.15">
      <c r="A3791" t="s">
        <v>3764</v>
      </c>
      <c r="B3791" t="str">
        <f>HYPERLINK("ち/ちゅう　中寒　1792　鍼法要集　源長起_ページ_1.jpg")</f>
        <v>ち/ちゅう　中寒　1792　鍼法要集　源長起_ページ_1.jpg</v>
      </c>
    </row>
    <row r="3792" spans="1:2" x14ac:dyDescent="0.15">
      <c r="A3792" t="s">
        <v>3765</v>
      </c>
      <c r="B3792" t="str">
        <f>HYPERLINK("ち/ちゅう　中寒　1792　鍼法要集　源長起_ページ_2.jpg")</f>
        <v>ち/ちゅう　中寒　1792　鍼法要集　源長起_ページ_2.jpg</v>
      </c>
    </row>
    <row r="3793" spans="1:2" x14ac:dyDescent="0.15">
      <c r="A3793" t="s">
        <v>3766</v>
      </c>
      <c r="B3793" t="str">
        <f>HYPERLINK("ち/ちゅう　中寒　1792　鍼法要集　源長起_ページ_3.jpg")</f>
        <v>ち/ちゅう　中寒　1792　鍼法要集　源長起_ページ_3.jpg</v>
      </c>
    </row>
    <row r="3794" spans="1:2" x14ac:dyDescent="0.15">
      <c r="A3794" t="s">
        <v>3767</v>
      </c>
      <c r="B3794" t="str">
        <f>HYPERLINK("ち/ちゅう　中寒　1794　杉山流鍼術　島浦和田一.jpg")</f>
        <v>ち/ちゅう　中寒　1794　杉山流鍼術　島浦和田一.jpg</v>
      </c>
    </row>
    <row r="3795" spans="1:2" x14ac:dyDescent="0.15">
      <c r="A3795" t="s">
        <v>3768</v>
      </c>
      <c r="B3795" t="str">
        <f>HYPERLINK("ち/ちゅう　中寒　1800　鍼灸備要　小坂元祐_ページ_1.jpg")</f>
        <v>ち/ちゅう　中寒　1800　鍼灸備要　小坂元祐_ページ_1.jpg</v>
      </c>
    </row>
    <row r="3796" spans="1:2" x14ac:dyDescent="0.15">
      <c r="A3796" t="s">
        <v>3769</v>
      </c>
      <c r="B3796" t="str">
        <f>HYPERLINK("ち/ちゅう　中寒　1800　鍼灸備要　小坂元祐_ページ_2.jpg")</f>
        <v>ち/ちゅう　中寒　1800　鍼灸備要　小坂元祐_ページ_2.jpg</v>
      </c>
    </row>
    <row r="3797" spans="1:2" x14ac:dyDescent="0.15">
      <c r="A3797" t="s">
        <v>3770</v>
      </c>
      <c r="B3797" t="str">
        <f>HYPERLINK("ち/ちゅう　中寒　1807　続名家灸選　平井庸信_ページ_1.jpg")</f>
        <v>ち/ちゅう　中寒　1807　続名家灸選　平井庸信_ページ_1.jpg</v>
      </c>
    </row>
    <row r="3798" spans="1:2" x14ac:dyDescent="0.15">
      <c r="A3798" t="s">
        <v>3771</v>
      </c>
      <c r="B3798" t="str">
        <f>HYPERLINK("ち/ちゅう　中寒　1807　続名家灸選　平井庸信_ページ_2.jpg")</f>
        <v>ち/ちゅう　中寒　1807　続名家灸選　平井庸信_ページ_2.jpg</v>
      </c>
    </row>
    <row r="3799" spans="1:2" x14ac:dyDescent="0.15">
      <c r="A3799" t="s">
        <v>3772</v>
      </c>
      <c r="B3799" t="str">
        <f>HYPERLINK("ち/ちゅう　中寒　1813　名家灸選三編　平井庸信_ページ_1.jpg")</f>
        <v>ち/ちゅう　中寒　1813　名家灸選三編　平井庸信_ページ_1.jpg</v>
      </c>
    </row>
    <row r="3800" spans="1:2" x14ac:dyDescent="0.15">
      <c r="A3800" t="s">
        <v>3773</v>
      </c>
      <c r="B3800" t="str">
        <f>HYPERLINK("ち/ちゅう　中寒　1813　名家灸選三編　平井庸信_ページ_2.jpg")</f>
        <v>ち/ちゅう　中寒　1813　名家灸選三編　平井庸信_ページ_2.jpg</v>
      </c>
    </row>
    <row r="3801" spans="1:2" x14ac:dyDescent="0.15">
      <c r="A3801" t="s">
        <v>3774</v>
      </c>
      <c r="B3801" t="str">
        <f>HYPERLINK("ち/ちゅう　中寒　1813　名家灸選三編　平井庸信_ページ_3.jpg")</f>
        <v>ち/ちゅう　中寒　1813　名家灸選三編　平井庸信_ページ_3.jpg</v>
      </c>
    </row>
    <row r="3802" spans="1:2" x14ac:dyDescent="0.15">
      <c r="A3802" t="s">
        <v>3775</v>
      </c>
      <c r="B3802" t="str">
        <f>HYPERLINK("ち/ちゅう　中寒　ひへにあたる　1718　鍼灸重宝記　本郷正豊.jpg")</f>
        <v>ち/ちゅう　中寒　ひへにあたる　1718　鍼灸重宝記　本郷正豊.jpg</v>
      </c>
    </row>
    <row r="3803" spans="1:2" x14ac:dyDescent="0.15">
      <c r="A3803" t="s">
        <v>3776</v>
      </c>
      <c r="B3803" t="str">
        <f>HYPERLINK("ち/ちゅう　中寒、身に熱なく、吐瀉・腹痛し、厥冷、肘を過ぐる如き者　甚しく寒毒にあたりてひえあがりて吐瀉し、はらいたむ人　1780　鍼灸極秘伝　木村太沖.jpg")</f>
        <v>ち/ちゅう　中寒、身に熱なく、吐瀉・腹痛し、厥冷、肘を過ぐる如き者　甚しく寒毒にあたりてひえあがりて吐瀉し、はらいたむ人　1780　鍼灸極秘伝　木村太沖.jpg</v>
      </c>
    </row>
    <row r="3804" spans="1:2" x14ac:dyDescent="0.15">
      <c r="A3804" t="s">
        <v>3777</v>
      </c>
      <c r="B3804" t="str">
        <f>HYPERLINK("ち/ちゅう　中忤　中悪　1679　鍼法奇貨　渡辺東伯_ページ_1.jpg")</f>
        <v>ち/ちゅう　中忤　中悪　1679　鍼法奇貨　渡辺東伯_ページ_1.jpg</v>
      </c>
    </row>
    <row r="3805" spans="1:2" x14ac:dyDescent="0.15">
      <c r="A3805" t="s">
        <v>3778</v>
      </c>
      <c r="B3805" t="str">
        <f>HYPERLINK("ち/ちゅう　中忤　中悪　1679　鍼法奇貨　渡辺東伯_ページ_2.jpg")</f>
        <v>ち/ちゅう　中忤　中悪　1679　鍼法奇貨　渡辺東伯_ページ_2.jpg</v>
      </c>
    </row>
    <row r="3806" spans="1:2" x14ac:dyDescent="0.15">
      <c r="A3806" t="s">
        <v>3779</v>
      </c>
      <c r="B3806" t="str">
        <f>HYPERLINK("ち/ちゅう　中悪　1315　鍼経摘英集　元・杜思敬「済生抜粋方」.jpg")</f>
        <v>ち/ちゅう　中悪　1315　鍼経摘英集　元・杜思敬「済生抜粋方」.jpg</v>
      </c>
    </row>
    <row r="3807" spans="1:2" x14ac:dyDescent="0.15">
      <c r="A3807" t="s">
        <v>3780</v>
      </c>
      <c r="B3807" t="str">
        <f>HYPERLINK("ち/ちゅう　中悪　1574　兪穴参伍的法　秦宗巴.jpg")</f>
        <v>ち/ちゅう　中悪　1574　兪穴参伍的法　秦宗巴.jpg</v>
      </c>
    </row>
    <row r="3808" spans="1:2" x14ac:dyDescent="0.15">
      <c r="A3808" t="s">
        <v>3781</v>
      </c>
      <c r="B3808" t="str">
        <f>HYPERLINK("ち/ちゅう　中悪　1680　鍼灸抜萃　著者未詳.jpg")</f>
        <v>ち/ちゅう　中悪　1680　鍼灸抜萃　著者未詳.jpg</v>
      </c>
    </row>
    <row r="3809" spans="1:2" x14ac:dyDescent="0.15">
      <c r="A3809" t="s">
        <v>3782</v>
      </c>
      <c r="B3809" t="str">
        <f>HYPERLINK("ち/ちゅう　中悪　1693　鍼灸要歌集　安井昌玄_ページ_1.jpg")</f>
        <v>ち/ちゅう　中悪　1693　鍼灸要歌集　安井昌玄_ページ_1.jpg</v>
      </c>
    </row>
    <row r="3810" spans="1:2" x14ac:dyDescent="0.15">
      <c r="A3810" t="s">
        <v>3783</v>
      </c>
      <c r="B3810" t="str">
        <f>HYPERLINK("ち/ちゅう　中悪　1693　鍼灸要歌集　安井昌玄_ページ_2.jpg")</f>
        <v>ち/ちゅう　中悪　1693　鍼灸要歌集　安井昌玄_ページ_2.jpg</v>
      </c>
    </row>
    <row r="3811" spans="1:2" x14ac:dyDescent="0.15">
      <c r="A3811" t="s">
        <v>3784</v>
      </c>
      <c r="B3811" t="str">
        <f>HYPERLINK("ち/ちゅう　中悪　1696　広益鍼灸抜萃　著者未詳_ページ_1.jpg")</f>
        <v>ち/ちゅう　中悪　1696　広益鍼灸抜萃　著者未詳_ページ_1.jpg</v>
      </c>
    </row>
    <row r="3812" spans="1:2" x14ac:dyDescent="0.15">
      <c r="A3812" t="s">
        <v>3785</v>
      </c>
      <c r="B3812" t="str">
        <f>HYPERLINK("ち/ちゅう　中悪　1696　広益鍼灸抜萃　著者未詳_ページ_2.jpg")</f>
        <v>ち/ちゅう　中悪　1696　広益鍼灸抜萃　著者未詳_ページ_2.jpg</v>
      </c>
    </row>
    <row r="3813" spans="1:2" x14ac:dyDescent="0.15">
      <c r="A3813" t="s">
        <v>3786</v>
      </c>
      <c r="B3813" t="str">
        <f>HYPERLINK("ち/ちゅう　中悪　1773　鍼灸手引草　大簡室主人.jpg")</f>
        <v>ち/ちゅう　中悪　1773　鍼灸手引草　大簡室主人.jpg</v>
      </c>
    </row>
    <row r="3814" spans="1:2" x14ac:dyDescent="0.15">
      <c r="A3814" t="s">
        <v>3787</v>
      </c>
      <c r="B3814" t="str">
        <f>HYPERLINK("ち/ちゅう　中悪　1785　鍼書　本城義軒.jpg")</f>
        <v>ち/ちゅう　中悪　1785　鍼書　本城義軒.jpg</v>
      </c>
    </row>
    <row r="3815" spans="1:2" x14ac:dyDescent="0.15">
      <c r="A3815" t="s">
        <v>3788</v>
      </c>
      <c r="B3815" t="str">
        <f>HYPERLINK("ち/ちゅう　中悪　1792　鍼法要集　源長起_ページ_1.jpg")</f>
        <v>ち/ちゅう　中悪　1792　鍼法要集　源長起_ページ_1.jpg</v>
      </c>
    </row>
    <row r="3816" spans="1:2" x14ac:dyDescent="0.15">
      <c r="A3816" t="s">
        <v>3789</v>
      </c>
      <c r="B3816" t="str">
        <f>HYPERLINK("ち/ちゅう　中悪　1792　鍼法要集　源長起_ページ_2.jpg")</f>
        <v>ち/ちゅう　中悪　1792　鍼法要集　源長起_ページ_2.jpg</v>
      </c>
    </row>
    <row r="3817" spans="1:2" x14ac:dyDescent="0.15">
      <c r="A3817" t="s">
        <v>3790</v>
      </c>
      <c r="B3817" t="str">
        <f>HYPERLINK("ち/ちゅう　中悪　あしきものにあてらるる　1718　鍼灸重宝記　本郷正豊.jpg")</f>
        <v>ち/ちゅう　中悪　あしきものにあてらるる　1718　鍼灸重宝記　本郷正豊.jpg</v>
      </c>
    </row>
    <row r="3818" spans="1:2" x14ac:dyDescent="0.15">
      <c r="A3818" t="s">
        <v>3791</v>
      </c>
      <c r="B3818" t="str">
        <f>HYPERLINK("ち/ちゅう　中悪　卒死　卒中病　1813　名家灸選三編　平井庸信_ページ_1.jpg")</f>
        <v>ち/ちゅう　中悪　卒死　卒中病　1813　名家灸選三編　平井庸信_ページ_1.jpg</v>
      </c>
    </row>
    <row r="3819" spans="1:2" x14ac:dyDescent="0.15">
      <c r="A3819" t="s">
        <v>3792</v>
      </c>
      <c r="B3819" t="str">
        <f>HYPERLINK("ち/ちゅう　中悪　卒死　卒中病　1813　名家灸選三編　平井庸信_ページ_2.jpg")</f>
        <v>ち/ちゅう　中悪　卒死　卒中病　1813　名家灸選三編　平井庸信_ページ_2.jpg</v>
      </c>
    </row>
    <row r="3820" spans="1:2" x14ac:dyDescent="0.15">
      <c r="A3820" t="s">
        <v>3793</v>
      </c>
      <c r="B3820" t="str">
        <f>HYPERLINK("ち/ちゅう　中悪　客忤　1800　鍼灸備要　小坂元祐_ページ_1.jpg")</f>
        <v>ち/ちゅう　中悪　客忤　1800　鍼灸備要　小坂元祐_ページ_1.jpg</v>
      </c>
    </row>
    <row r="3821" spans="1:2" x14ac:dyDescent="0.15">
      <c r="A3821" t="s">
        <v>3794</v>
      </c>
      <c r="B3821" t="str">
        <f>HYPERLINK("ち/ちゅう　中悪　客忤　1800　鍼灸備要　小坂元祐_ページ_2.jpg")</f>
        <v>ち/ちゅう　中悪　客忤　1800　鍼灸備要　小坂元祐_ページ_2.jpg</v>
      </c>
    </row>
    <row r="3822" spans="1:2" x14ac:dyDescent="0.15">
      <c r="A3822" t="s">
        <v>3795</v>
      </c>
      <c r="B3822" t="str">
        <f>HYPERLINK("ち/ちゅう　中悪　客杵　1669　鍼灸枢要　山本玄通_ページ_1.jpg")</f>
        <v>ち/ちゅう　中悪　客杵　1669　鍼灸枢要　山本玄通_ページ_1.jpg</v>
      </c>
    </row>
    <row r="3823" spans="1:2" x14ac:dyDescent="0.15">
      <c r="A3823" t="s">
        <v>3796</v>
      </c>
      <c r="B3823" t="str">
        <f>HYPERLINK("ち/ちゅう　中悪　客杵　1669　鍼灸枢要　山本玄通_ページ_2.jpg")</f>
        <v>ち/ちゅう　中悪　客杵　1669　鍼灸枢要　山本玄通_ページ_2.jpg</v>
      </c>
    </row>
    <row r="3824" spans="1:2" x14ac:dyDescent="0.15">
      <c r="A3824" t="s">
        <v>3797</v>
      </c>
      <c r="B3824" t="str">
        <f>HYPERLINK("ち/ちゅう　中悪　客杵　1669　鍼灸枢要　山本玄通_ページ_3.jpg")</f>
        <v>ち/ちゅう　中悪　客杵　1669　鍼灸枢要　山本玄通_ページ_3.jpg</v>
      </c>
    </row>
    <row r="3825" spans="1:2" x14ac:dyDescent="0.15">
      <c r="A3825" t="s">
        <v>3798</v>
      </c>
      <c r="B3825" t="str">
        <f>HYPERLINK("ち/ちゅう　中悪　客杵　1669　鍼灸枢要　山本玄通_ページ_4.jpg")</f>
        <v>ち/ちゅう　中悪　客杵　1669　鍼灸枢要　山本玄通_ページ_4.jpg</v>
      </c>
    </row>
    <row r="3826" spans="1:2" x14ac:dyDescent="0.15">
      <c r="A3826" t="s">
        <v>3799</v>
      </c>
      <c r="B3826" t="str">
        <f>HYPERLINK("ち/ちゅう　中悪　客杵　1669　鍼灸枢要　山本玄通_ページ_5.jpg")</f>
        <v>ち/ちゅう　中悪　客杵　1669　鍼灸枢要　山本玄通_ページ_5.jpg</v>
      </c>
    </row>
    <row r="3827" spans="1:2" x14ac:dyDescent="0.15">
      <c r="A3827" t="s">
        <v>3800</v>
      </c>
      <c r="B3827" t="str">
        <f>HYPERLINK("ち/ちゅう　中暑　1669　鍼灸枢要　山本玄通_ページ_1.jpg")</f>
        <v>ち/ちゅう　中暑　1669　鍼灸枢要　山本玄通_ページ_1.jpg</v>
      </c>
    </row>
    <row r="3828" spans="1:2" x14ac:dyDescent="0.15">
      <c r="A3828" t="s">
        <v>3801</v>
      </c>
      <c r="B3828" t="str">
        <f>HYPERLINK("ち/ちゅう　中暑　1669　鍼灸枢要　山本玄通_ページ_2.jpg")</f>
        <v>ち/ちゅう　中暑　1669　鍼灸枢要　山本玄通_ページ_2.jpg</v>
      </c>
    </row>
    <row r="3829" spans="1:2" x14ac:dyDescent="0.15">
      <c r="A3829" t="s">
        <v>3802</v>
      </c>
      <c r="B3829" t="str">
        <f>HYPERLINK("ち/ちゅう　中暑　1669　鍼灸枢要　山本玄通_ページ_3.jpg")</f>
        <v>ち/ちゅう　中暑　1669　鍼灸枢要　山本玄通_ページ_3.jpg</v>
      </c>
    </row>
    <row r="3830" spans="1:2" x14ac:dyDescent="0.15">
      <c r="A3830" t="s">
        <v>3803</v>
      </c>
      <c r="B3830" t="str">
        <f>HYPERLINK("ち/ちゅう　中暑　1679　鍼法奇貨　渡辺東伯_ページ_1.jpg")</f>
        <v>ち/ちゅう　中暑　1679　鍼法奇貨　渡辺東伯_ページ_1.jpg</v>
      </c>
    </row>
    <row r="3831" spans="1:2" x14ac:dyDescent="0.15">
      <c r="A3831" t="s">
        <v>3804</v>
      </c>
      <c r="B3831" t="str">
        <f>HYPERLINK("ち/ちゅう　中暑　1679　鍼法奇貨　渡辺東伯_ページ_2.jpg")</f>
        <v>ち/ちゅう　中暑　1679　鍼法奇貨　渡辺東伯_ページ_2.jpg</v>
      </c>
    </row>
    <row r="3832" spans="1:2" x14ac:dyDescent="0.15">
      <c r="A3832" t="s">
        <v>3805</v>
      </c>
      <c r="B3832" t="str">
        <f>HYPERLINK("ち/ちゅう　中暑　1679　鍼法奇貨　渡辺東伯_ページ_3.jpg")</f>
        <v>ち/ちゅう　中暑　1679　鍼法奇貨　渡辺東伯_ページ_3.jpg</v>
      </c>
    </row>
    <row r="3833" spans="1:2" x14ac:dyDescent="0.15">
      <c r="A3833" t="s">
        <v>3806</v>
      </c>
      <c r="B3833" t="str">
        <f>HYPERLINK("ち/ちゅう　中暑　1686　鍼灸要法指南　岩田利斎_ページ_1.jpg")</f>
        <v>ち/ちゅう　中暑　1686　鍼灸要法指南　岩田利斎_ページ_1.jpg</v>
      </c>
    </row>
    <row r="3834" spans="1:2" x14ac:dyDescent="0.15">
      <c r="A3834" t="s">
        <v>3807</v>
      </c>
      <c r="B3834" t="str">
        <f>HYPERLINK("ち/ちゅう　中暑　1686　鍼灸要法指南　岩田利斎_ページ_2.jpg")</f>
        <v>ち/ちゅう　中暑　1686　鍼灸要法指南　岩田利斎_ページ_2.jpg</v>
      </c>
    </row>
    <row r="3835" spans="1:2" x14ac:dyDescent="0.15">
      <c r="A3835" t="s">
        <v>3808</v>
      </c>
      <c r="B3835" t="str">
        <f>HYPERLINK("ち/ちゅう　中暑　1693　鍼灸要歌集　安井昌玄_ページ_1.jpg")</f>
        <v>ち/ちゅう　中暑　1693　鍼灸要歌集　安井昌玄_ページ_1.jpg</v>
      </c>
    </row>
    <row r="3836" spans="1:2" x14ac:dyDescent="0.15">
      <c r="A3836" t="s">
        <v>3809</v>
      </c>
      <c r="B3836" t="str">
        <f>HYPERLINK("ち/ちゅう　中暑　1693　鍼灸要歌集　安井昌玄_ページ_2.jpg")</f>
        <v>ち/ちゅう　中暑　1693　鍼灸要歌集　安井昌玄_ページ_2.jpg</v>
      </c>
    </row>
    <row r="3837" spans="1:2" x14ac:dyDescent="0.15">
      <c r="A3837" t="s">
        <v>3810</v>
      </c>
      <c r="B3837" t="str">
        <f>HYPERLINK("ち/ちゅう　中暑　1767　鍼灸則　菅沼周桂.jpg")</f>
        <v>ち/ちゅう　中暑　1767　鍼灸則　菅沼周桂.jpg</v>
      </c>
    </row>
    <row r="3838" spans="1:2" x14ac:dyDescent="0.15">
      <c r="A3838" t="s">
        <v>3811</v>
      </c>
      <c r="B3838" t="str">
        <f>HYPERLINK("ち/ちゅう　中暑　1792　鍼法要集　源長起.jpg")</f>
        <v>ち/ちゅう　中暑　1792　鍼法要集　源長起.jpg</v>
      </c>
    </row>
    <row r="3839" spans="1:2" x14ac:dyDescent="0.15">
      <c r="A3839" t="s">
        <v>3812</v>
      </c>
      <c r="B3839" t="str">
        <f>HYPERLINK("ち/ちゅう　中暑　1794　杉山流鍼術　島浦和田一_ページ_1.jpg")</f>
        <v>ち/ちゅう　中暑　1794　杉山流鍼術　島浦和田一_ページ_1.jpg</v>
      </c>
    </row>
    <row r="3840" spans="1:2" x14ac:dyDescent="0.15">
      <c r="A3840" t="s">
        <v>3813</v>
      </c>
      <c r="B3840" t="str">
        <f>HYPERLINK("ち/ちゅう　中暑　1794　杉山流鍼術　島浦和田一_ページ_2.jpg")</f>
        <v>ち/ちゅう　中暑　1794　杉山流鍼術　島浦和田一_ページ_2.jpg</v>
      </c>
    </row>
    <row r="3841" spans="1:2" x14ac:dyDescent="0.15">
      <c r="A3841" t="s">
        <v>3814</v>
      </c>
      <c r="B3841" t="str">
        <f>HYPERLINK("ち/ちゅう　中暑、卒倒・角弓・反張し、手足ちく搦　しょ（暑）にあたりてそりかえりたる人　1780　鍼灸極秘伝　木村太沖.jpg")</f>
        <v>ち/ちゅう　中暑、卒倒・角弓・反張し、手足ちく搦　しょ（暑）にあたりてそりかえりたる人　1780　鍼灸極秘伝　木村太沖.jpg</v>
      </c>
    </row>
    <row r="3842" spans="1:2" x14ac:dyDescent="0.15">
      <c r="A3842" t="s">
        <v>3815</v>
      </c>
      <c r="B3842" t="str">
        <f>HYPERLINK("ち/ちゅう　中暑、口渇あるいは吐瀉　暑気にあたりて口かわき、はきくだしする人　1780　鍼灸極秘伝　木村太沖.jpg")</f>
        <v>ち/ちゅう　中暑、口渇あるいは吐瀉　暑気にあたりて口かわき、はきくだしする人　1780　鍼灸極秘伝　木村太沖.jpg</v>
      </c>
    </row>
    <row r="3843" spans="1:2" x14ac:dyDescent="0.15">
      <c r="A3843" t="s">
        <v>3816</v>
      </c>
      <c r="B3843" t="str">
        <f>HYPERLINK("ち/ちゅう　中毒　1686　鍼灸要法指南　岩田利斎_ページ_1.jpg")</f>
        <v>ち/ちゅう　中毒　1686　鍼灸要法指南　岩田利斎_ページ_1.jpg</v>
      </c>
    </row>
    <row r="3844" spans="1:2" x14ac:dyDescent="0.15">
      <c r="A3844" t="s">
        <v>3817</v>
      </c>
      <c r="B3844" t="str">
        <f>HYPERLINK("ち/ちゅう　中毒　1686　鍼灸要法指南　岩田利斎_ページ_2.jpg")</f>
        <v>ち/ちゅう　中毒　1686　鍼灸要法指南　岩田利斎_ページ_2.jpg</v>
      </c>
    </row>
    <row r="3845" spans="1:2" x14ac:dyDescent="0.15">
      <c r="A3845" t="s">
        <v>3818</v>
      </c>
      <c r="B3845" t="str">
        <f>HYPERLINK("ち/ちゅう　中毒　1693　鍼灸要歌集　安井昌玄_ページ_1.jpg")</f>
        <v>ち/ちゅう　中毒　1693　鍼灸要歌集　安井昌玄_ページ_1.jpg</v>
      </c>
    </row>
    <row r="3846" spans="1:2" x14ac:dyDescent="0.15">
      <c r="A3846" t="s">
        <v>3819</v>
      </c>
      <c r="B3846" t="str">
        <f>HYPERLINK("ち/ちゅう　中毒　1693　鍼灸要歌集　安井昌玄_ページ_2.jpg")</f>
        <v>ち/ちゅう　中毒　1693　鍼灸要歌集　安井昌玄_ページ_2.jpg</v>
      </c>
    </row>
    <row r="3847" spans="1:2" x14ac:dyDescent="0.15">
      <c r="A3847" t="s">
        <v>3820</v>
      </c>
      <c r="B3847" t="str">
        <f>HYPERLINK("ち/ちゅう　中毒　どくにあたる　1718　鍼灸重宝記　本郷正豊.jpg")</f>
        <v>ち/ちゅう　中毒　どくにあたる　1718　鍼灸重宝記　本郷正豊.jpg</v>
      </c>
    </row>
    <row r="3848" spans="1:2" x14ac:dyDescent="0.15">
      <c r="A3848" t="s">
        <v>3821</v>
      </c>
      <c r="B3848" t="str">
        <f>HYPERLINK("ち/ちゅう　中湿　1669　鍼灸枢要　山本玄通_ページ_1.jpg")</f>
        <v>ち/ちゅう　中湿　1669　鍼灸枢要　山本玄通_ページ_1.jpg</v>
      </c>
    </row>
    <row r="3849" spans="1:2" x14ac:dyDescent="0.15">
      <c r="A3849" t="s">
        <v>3822</v>
      </c>
      <c r="B3849" t="str">
        <f>HYPERLINK("ち/ちゅう　中湿　1669　鍼灸枢要　山本玄通_ページ_2.jpg")</f>
        <v>ち/ちゅう　中湿　1669　鍼灸枢要　山本玄通_ページ_2.jpg</v>
      </c>
    </row>
    <row r="3850" spans="1:2" x14ac:dyDescent="0.15">
      <c r="A3850" t="s">
        <v>3823</v>
      </c>
      <c r="B3850" t="str">
        <f>HYPERLINK("ち/ちゅう　中湿　1669　鍼灸枢要　山本玄通_ページ_3.jpg")</f>
        <v>ち/ちゅう　中湿　1669　鍼灸枢要　山本玄通_ページ_3.jpg</v>
      </c>
    </row>
    <row r="3851" spans="1:2" x14ac:dyDescent="0.15">
      <c r="A3851" t="s">
        <v>3824</v>
      </c>
      <c r="B3851" t="str">
        <f>HYPERLINK("ち/ちゅう　中湿　1686　鍼灸要法指南　岩田利斎.jpg")</f>
        <v>ち/ちゅう　中湿　1686　鍼灸要法指南　岩田利斎.jpg</v>
      </c>
    </row>
    <row r="3852" spans="1:2" x14ac:dyDescent="0.15">
      <c r="A3852" t="s">
        <v>3825</v>
      </c>
      <c r="B3852" t="str">
        <f>HYPERLINK("ち/ちゅう　中湿　1693　鍼灸要歌集　安井昌玄_ページ_1.jpg")</f>
        <v>ち/ちゅう　中湿　1693　鍼灸要歌集　安井昌玄_ページ_1.jpg</v>
      </c>
    </row>
    <row r="3853" spans="1:2" x14ac:dyDescent="0.15">
      <c r="A3853" t="s">
        <v>3826</v>
      </c>
      <c r="B3853" t="str">
        <f>HYPERLINK("ち/ちゅう　中湿　1693　鍼灸要歌集　安井昌玄_ページ_2.jpg")</f>
        <v>ち/ちゅう　中湿　1693　鍼灸要歌集　安井昌玄_ページ_2.jpg</v>
      </c>
    </row>
    <row r="3854" spans="1:2" x14ac:dyDescent="0.15">
      <c r="A3854" t="s">
        <v>3827</v>
      </c>
      <c r="B3854" t="str">
        <f>HYPERLINK("ち/ちゅう　中湿　1792　鍼法要集　源長起_ページ_1.jpg")</f>
        <v>ち/ちゅう　中湿　1792　鍼法要集　源長起_ページ_1.jpg</v>
      </c>
    </row>
    <row r="3855" spans="1:2" x14ac:dyDescent="0.15">
      <c r="A3855" t="s">
        <v>3828</v>
      </c>
      <c r="B3855" t="str">
        <f>HYPERLINK("ち/ちゅう　中湿　1792　鍼法要集　源長起_ページ_2.jpg")</f>
        <v>ち/ちゅう　中湿　1792　鍼法要集　源長起_ページ_2.jpg</v>
      </c>
    </row>
    <row r="3856" spans="1:2" x14ac:dyDescent="0.15">
      <c r="A3856" t="s">
        <v>3829</v>
      </c>
      <c r="B3856" t="str">
        <f>HYPERLINK("ち/ちゅう　中湿　1792　鍼法要集　源長起_ページ_3.jpg")</f>
        <v>ち/ちゅう　中湿　1792　鍼法要集　源長起_ページ_3.jpg</v>
      </c>
    </row>
    <row r="3857" spans="1:2" x14ac:dyDescent="0.15">
      <c r="A3857" t="s">
        <v>3830</v>
      </c>
      <c r="B3857" t="str">
        <f>HYPERLINK("ち/ちゅう　中湿　1794　杉山流鍼術　島浦和田一.jpg")</f>
        <v>ち/ちゅう　中湿　1794　杉山流鍼術　島浦和田一.jpg</v>
      </c>
    </row>
    <row r="3858" spans="1:2" x14ac:dyDescent="0.15">
      <c r="A3858" t="s">
        <v>3831</v>
      </c>
      <c r="B3858" t="str">
        <f>HYPERLINK("ち/ちゅう　中湿、腰背拘急し、脚重疼痛　しつ（湿）にあたりて、こし・せなか・あし引きつりいたむ人　1780　鍼灸極秘伝　木村太沖.jpg")</f>
        <v>ち/ちゅう　中湿、腰背拘急し、脚重疼痛　しつ（湿）にあたりて、こし・せなか・あし引きつりいたむ人　1780　鍼灸極秘伝　木村太沖.jpg</v>
      </c>
    </row>
    <row r="3859" spans="1:2" x14ac:dyDescent="0.15">
      <c r="A3859" t="s">
        <v>3832</v>
      </c>
      <c r="B3859" t="str">
        <f>HYPERLINK("ち/ちゅう　中風　1220　（中風寒熱 余論見偏風）　鍼灸資生経　王執中_ページ_1.jpg")</f>
        <v>ち/ちゅう　中風　1220　（中風寒熱 余論見偏風）　鍼灸資生経　王執中_ページ_1.jpg</v>
      </c>
    </row>
    <row r="3860" spans="1:2" x14ac:dyDescent="0.15">
      <c r="A3860" t="s">
        <v>3833</v>
      </c>
      <c r="B3860" t="str">
        <f>HYPERLINK("ち/ちゅう　中風　1220　（中風寒熱 余論見偏風）　鍼灸資生経　王執中_ページ_2.jpg")</f>
        <v>ち/ちゅう　中風　1220　（中風寒熱 余論見偏風）　鍼灸資生経　王執中_ページ_2.jpg</v>
      </c>
    </row>
    <row r="3861" spans="1:2" x14ac:dyDescent="0.15">
      <c r="A3861" t="s">
        <v>3834</v>
      </c>
      <c r="B3861" t="str">
        <f>HYPERLINK("ち/ちゅう　中風　1220　（中風寒熱 余論見偏風）　鍼灸資生経　王執中_ページ_3.jpg")</f>
        <v>ち/ちゅう　中風　1220　（中風寒熱 余論見偏風）　鍼灸資生経　王執中_ページ_3.jpg</v>
      </c>
    </row>
    <row r="3862" spans="1:2" x14ac:dyDescent="0.15">
      <c r="A3862" t="s">
        <v>3835</v>
      </c>
      <c r="B3862" t="str">
        <f>HYPERLINK("ち/ちゅう　中風　1220　（中風寒熱 余論見偏風）　鍼灸資生経　王執中_ページ_4.jpg")</f>
        <v>ち/ちゅう　中風　1220　（中風寒熱 余論見偏風）　鍼灸資生経　王執中_ページ_4.jpg</v>
      </c>
    </row>
    <row r="3863" spans="1:2" x14ac:dyDescent="0.15">
      <c r="A3863" t="s">
        <v>3836</v>
      </c>
      <c r="B3863" t="str">
        <f>HYPERLINK("ち/ちゅう　中風　1220　（中風寒熱 余論見偏風）　鍼灸資生経　王執中_ページ_5.jpg")</f>
        <v>ち/ちゅう　中風　1220　（中風寒熱 余論見偏風）　鍼灸資生経　王執中_ページ_5.jpg</v>
      </c>
    </row>
    <row r="3864" spans="1:2" x14ac:dyDescent="0.15">
      <c r="A3864" t="s">
        <v>3837</v>
      </c>
      <c r="B3864" t="str">
        <f>HYPERLINK("ち/ちゅう　中風　1299　続添要穴集　惟宗時俊.jpg")</f>
        <v>ち/ちゅう　中風　1299　続添要穴集　惟宗時俊.jpg</v>
      </c>
    </row>
    <row r="3865" spans="1:2" x14ac:dyDescent="0.15">
      <c r="A3865" t="s">
        <v>3838</v>
      </c>
      <c r="B3865" t="str">
        <f>HYPERLINK("ち/ちゅう　中風　1329　扁鵲神応鍼灸玉龍経　元・王国瑞.jpg")</f>
        <v>ち/ちゅう　中風　1329　扁鵲神応鍼灸玉龍経　元・王国瑞.jpg</v>
      </c>
    </row>
    <row r="3866" spans="1:2" x14ac:dyDescent="0.15">
      <c r="A3866" t="s">
        <v>3839</v>
      </c>
      <c r="B3866" t="str">
        <f>HYPERLINK("ち/ちゅう　中風　1574　兪穴参伍的法　秦宗巴_ページ_1.jpg")</f>
        <v>ち/ちゅう　中風　1574　兪穴参伍的法　秦宗巴_ページ_1.jpg</v>
      </c>
    </row>
    <row r="3867" spans="1:2" x14ac:dyDescent="0.15">
      <c r="A3867" t="s">
        <v>3840</v>
      </c>
      <c r="B3867" t="str">
        <f>HYPERLINK("ち/ちゅう　中風　1574　兪穴参伍的法　秦宗巴_ページ_2.jpg")</f>
        <v>ち/ちゅう　中風　1574　兪穴参伍的法　秦宗巴_ページ_2.jpg</v>
      </c>
    </row>
    <row r="3868" spans="1:2" x14ac:dyDescent="0.15">
      <c r="A3868" t="s">
        <v>3841</v>
      </c>
      <c r="B3868" t="str">
        <f>HYPERLINK("ち/ちゅう　中風　1594　鍼灸集要　曲直瀬道三_ページ_1.jpg")</f>
        <v>ち/ちゅう　中風　1594　鍼灸集要　曲直瀬道三_ページ_1.jpg</v>
      </c>
    </row>
    <row r="3869" spans="1:2" x14ac:dyDescent="0.15">
      <c r="A3869" t="s">
        <v>3842</v>
      </c>
      <c r="B3869" t="str">
        <f>HYPERLINK("ち/ちゅう　中風　1594　鍼灸集要　曲直瀬道三_ページ_2.jpg")</f>
        <v>ち/ちゅう　中風　1594　鍼灸集要　曲直瀬道三_ページ_2.jpg</v>
      </c>
    </row>
    <row r="3870" spans="1:2" x14ac:dyDescent="0.15">
      <c r="A3870" t="s">
        <v>3843</v>
      </c>
      <c r="B3870" t="str">
        <f>HYPERLINK("ち/ちゅう　中風　1607　扁鵲新流鍼書　越齋寿閑.jpg")</f>
        <v>ち/ちゅう　中風　1607　扁鵲新流鍼書　越齋寿閑.jpg</v>
      </c>
    </row>
    <row r="3871" spans="1:2" x14ac:dyDescent="0.15">
      <c r="A3871" t="s">
        <v>3844</v>
      </c>
      <c r="B3871" t="str">
        <f>HYPERLINK("ち/ちゅう　中風　1624　類経図翼　明・張介賓_ページ_1.jpg")</f>
        <v>ち/ちゅう　中風　1624　類経図翼　明・張介賓_ページ_1.jpg</v>
      </c>
    </row>
    <row r="3872" spans="1:2" x14ac:dyDescent="0.15">
      <c r="A3872" t="s">
        <v>3845</v>
      </c>
      <c r="B3872" t="str">
        <f>HYPERLINK("ち/ちゅう　中風　1624　類経図翼　明・張介賓_ページ_2.jpg")</f>
        <v>ち/ちゅう　中風　1624　類経図翼　明・張介賓_ページ_2.jpg</v>
      </c>
    </row>
    <row r="3873" spans="1:2" x14ac:dyDescent="0.15">
      <c r="A3873" t="s">
        <v>3846</v>
      </c>
      <c r="B3873" t="str">
        <f>HYPERLINK("ち/ちゅう　中風　1624　類経図翼　明・張介賓_ページ_3.jpg")</f>
        <v>ち/ちゅう　中風　1624　類経図翼　明・張介賓_ページ_3.jpg</v>
      </c>
    </row>
    <row r="3874" spans="1:2" x14ac:dyDescent="0.15">
      <c r="A3874" t="s">
        <v>3847</v>
      </c>
      <c r="B3874" t="str">
        <f>HYPERLINK("ち/ちゅう　中風　1624　類経図翼　明・張介賓_ページ_4.jpg")</f>
        <v>ち/ちゅう　中風　1624　類経図翼　明・張介賓_ページ_4.jpg</v>
      </c>
    </row>
    <row r="3875" spans="1:2" x14ac:dyDescent="0.15">
      <c r="A3875" t="s">
        <v>3848</v>
      </c>
      <c r="B3875" t="str">
        <f>HYPERLINK("ち/ちゅう　中風　1624　類経図翼　明・張介賓_ページ_5.jpg")</f>
        <v>ち/ちゅう　中風　1624　類経図翼　明・張介賓_ページ_5.jpg</v>
      </c>
    </row>
    <row r="3876" spans="1:2" x14ac:dyDescent="0.15">
      <c r="A3876" t="s">
        <v>3849</v>
      </c>
      <c r="B3876" t="str">
        <f>HYPERLINK("ち/ちゅう　中風　1624　類経図翼　明・張介賓_ページ_6.jpg")</f>
        <v>ち/ちゅう　中風　1624　類経図翼　明・張介賓_ページ_6.jpg</v>
      </c>
    </row>
    <row r="3877" spans="1:2" x14ac:dyDescent="0.15">
      <c r="A3877" t="s">
        <v>3850</v>
      </c>
      <c r="B3877" t="str">
        <f>HYPERLINK("ち/ちゅう　中風　1669　鍼灸枢要　山本玄通_ページ_01.jpg")</f>
        <v>ち/ちゅう　中風　1669　鍼灸枢要　山本玄通_ページ_01.jpg</v>
      </c>
    </row>
    <row r="3878" spans="1:2" x14ac:dyDescent="0.15">
      <c r="A3878" t="s">
        <v>3851</v>
      </c>
      <c r="B3878" t="str">
        <f>HYPERLINK("ち/ちゅう　中風　1669　鍼灸枢要　山本玄通_ページ_02.jpg")</f>
        <v>ち/ちゅう　中風　1669　鍼灸枢要　山本玄通_ページ_02.jpg</v>
      </c>
    </row>
    <row r="3879" spans="1:2" x14ac:dyDescent="0.15">
      <c r="A3879" t="s">
        <v>3852</v>
      </c>
      <c r="B3879" t="str">
        <f>HYPERLINK("ち/ちゅう　中風　1669　鍼灸枢要　山本玄通_ページ_03.jpg")</f>
        <v>ち/ちゅう　中風　1669　鍼灸枢要　山本玄通_ページ_03.jpg</v>
      </c>
    </row>
    <row r="3880" spans="1:2" x14ac:dyDescent="0.15">
      <c r="A3880" t="s">
        <v>3853</v>
      </c>
      <c r="B3880" t="str">
        <f>HYPERLINK("ち/ちゅう　中風　1669　鍼灸枢要　山本玄通_ページ_04.jpg")</f>
        <v>ち/ちゅう　中風　1669　鍼灸枢要　山本玄通_ページ_04.jpg</v>
      </c>
    </row>
    <row r="3881" spans="1:2" x14ac:dyDescent="0.15">
      <c r="A3881" t="s">
        <v>3854</v>
      </c>
      <c r="B3881" t="str">
        <f>HYPERLINK("ち/ちゅう　中風　1669　鍼灸枢要　山本玄通_ページ_05.jpg")</f>
        <v>ち/ちゅう　中風　1669　鍼灸枢要　山本玄通_ページ_05.jpg</v>
      </c>
    </row>
    <row r="3882" spans="1:2" x14ac:dyDescent="0.15">
      <c r="A3882" t="s">
        <v>3855</v>
      </c>
      <c r="B3882" t="str">
        <f>HYPERLINK("ち/ちゅう　中風　1669　鍼灸枢要　山本玄通_ページ_06.jpg")</f>
        <v>ち/ちゅう　中風　1669　鍼灸枢要　山本玄通_ページ_06.jpg</v>
      </c>
    </row>
    <row r="3883" spans="1:2" x14ac:dyDescent="0.15">
      <c r="A3883" t="s">
        <v>3856</v>
      </c>
      <c r="B3883" t="str">
        <f>HYPERLINK("ち/ちゅう　中風　1669　鍼灸枢要　山本玄通_ページ_07.jpg")</f>
        <v>ち/ちゅう　中風　1669　鍼灸枢要　山本玄通_ページ_07.jpg</v>
      </c>
    </row>
    <row r="3884" spans="1:2" x14ac:dyDescent="0.15">
      <c r="A3884" t="s">
        <v>3857</v>
      </c>
      <c r="B3884" t="str">
        <f>HYPERLINK("ち/ちゅう　中風　1669　鍼灸枢要　山本玄通_ページ_08.jpg")</f>
        <v>ち/ちゅう　中風　1669　鍼灸枢要　山本玄通_ページ_08.jpg</v>
      </c>
    </row>
    <row r="3885" spans="1:2" x14ac:dyDescent="0.15">
      <c r="A3885" t="s">
        <v>3858</v>
      </c>
      <c r="B3885" t="str">
        <f>HYPERLINK("ち/ちゅう　中風　1669　鍼灸枢要　山本玄通_ページ_09.jpg")</f>
        <v>ち/ちゅう　中風　1669　鍼灸枢要　山本玄通_ページ_09.jpg</v>
      </c>
    </row>
    <row r="3886" spans="1:2" x14ac:dyDescent="0.15">
      <c r="A3886" t="s">
        <v>3859</v>
      </c>
      <c r="B3886" t="str">
        <f>HYPERLINK("ち/ちゅう　中風　1669　鍼灸枢要　山本玄通_ページ_10.jpg")</f>
        <v>ち/ちゅう　中風　1669　鍼灸枢要　山本玄通_ページ_10.jpg</v>
      </c>
    </row>
    <row r="3887" spans="1:2" x14ac:dyDescent="0.15">
      <c r="A3887" t="s">
        <v>3860</v>
      </c>
      <c r="B3887" t="str">
        <f>HYPERLINK("ち/ちゅう　中風　1669　鍼灸枢要　山本玄通_ページ_11.jpg")</f>
        <v>ち/ちゅう　中風　1669　鍼灸枢要　山本玄通_ページ_11.jpg</v>
      </c>
    </row>
    <row r="3888" spans="1:2" x14ac:dyDescent="0.15">
      <c r="A3888" t="s">
        <v>3861</v>
      </c>
      <c r="B3888" t="str">
        <f>HYPERLINK("ち/ちゅう　中風　1679　鍼法奇貨　渡辺東伯_ページ_1.jpg")</f>
        <v>ち/ちゅう　中風　1679　鍼法奇貨　渡辺東伯_ページ_1.jpg</v>
      </c>
    </row>
    <row r="3889" spans="1:2" x14ac:dyDescent="0.15">
      <c r="A3889" t="s">
        <v>3862</v>
      </c>
      <c r="B3889" t="str">
        <f>HYPERLINK("ち/ちゅう　中風　1679　鍼法奇貨　渡辺東伯_ページ_2.jpg")</f>
        <v>ち/ちゅう　中風　1679　鍼法奇貨　渡辺東伯_ページ_2.jpg</v>
      </c>
    </row>
    <row r="3890" spans="1:2" x14ac:dyDescent="0.15">
      <c r="A3890" t="s">
        <v>3863</v>
      </c>
      <c r="B3890" t="str">
        <f>HYPERLINK("ち/ちゅう　中風　1679　鍼法奇貨　渡辺東伯_ページ_3.jpg")</f>
        <v>ち/ちゅう　中風　1679　鍼法奇貨　渡辺東伯_ページ_3.jpg</v>
      </c>
    </row>
    <row r="3891" spans="1:2" x14ac:dyDescent="0.15">
      <c r="A3891" t="s">
        <v>3864</v>
      </c>
      <c r="B3891" t="str">
        <f>HYPERLINK("ち/ちゅう　中風　1680　鍼灸抜萃　著者未詳.jpg")</f>
        <v>ち/ちゅう　中風　1680　鍼灸抜萃　著者未詳.jpg</v>
      </c>
    </row>
    <row r="3892" spans="1:2" x14ac:dyDescent="0.15">
      <c r="A3892" t="s">
        <v>3865</v>
      </c>
      <c r="B3892" t="str">
        <f>HYPERLINK("ち/ちゅう　中風　1686　鍼灸要法指南　岩田利斎_ページ_1.jpg")</f>
        <v>ち/ちゅう　中風　1686　鍼灸要法指南　岩田利斎_ページ_1.jpg</v>
      </c>
    </row>
    <row r="3893" spans="1:2" x14ac:dyDescent="0.15">
      <c r="A3893" t="s">
        <v>3866</v>
      </c>
      <c r="B3893" t="str">
        <f>HYPERLINK("ち/ちゅう　中風　1686　鍼灸要法指南　岩田利斎_ページ_2.jpg")</f>
        <v>ち/ちゅう　中風　1686　鍼灸要法指南　岩田利斎_ページ_2.jpg</v>
      </c>
    </row>
    <row r="3894" spans="1:2" x14ac:dyDescent="0.15">
      <c r="A3894" t="s">
        <v>3867</v>
      </c>
      <c r="B3894" t="str">
        <f>HYPERLINK("ち/ちゅう　中風　1686　鍼灸要法指南　岩田利斎_ページ_3.jpg")</f>
        <v>ち/ちゅう　中風　1686　鍼灸要法指南　岩田利斎_ページ_3.jpg</v>
      </c>
    </row>
    <row r="3895" spans="1:2" x14ac:dyDescent="0.15">
      <c r="A3895" t="s">
        <v>3868</v>
      </c>
      <c r="B3895" t="str">
        <f>HYPERLINK("ち/ちゅう　中風　1693　鍼灸要歌集　安井昌玄_ページ_1.jpg")</f>
        <v>ち/ちゅう　中風　1693　鍼灸要歌集　安井昌玄_ページ_1.jpg</v>
      </c>
    </row>
    <row r="3896" spans="1:2" x14ac:dyDescent="0.15">
      <c r="A3896" t="s">
        <v>3869</v>
      </c>
      <c r="B3896" t="str">
        <f>HYPERLINK("ち/ちゅう　中風　1693　鍼灸要歌集　安井昌玄_ページ_2.jpg")</f>
        <v>ち/ちゅう　中風　1693　鍼灸要歌集　安井昌玄_ページ_2.jpg</v>
      </c>
    </row>
    <row r="3897" spans="1:2" x14ac:dyDescent="0.15">
      <c r="A3897" t="s">
        <v>3870</v>
      </c>
      <c r="B3897" t="str">
        <f>HYPERLINK("ち/ちゅう　中風　1693　鍼灸要歌集　安井昌玄_ページ_3.jpg")</f>
        <v>ち/ちゅう　中風　1693　鍼灸要歌集　安井昌玄_ページ_3.jpg</v>
      </c>
    </row>
    <row r="3898" spans="1:2" x14ac:dyDescent="0.15">
      <c r="A3898" t="s">
        <v>3871</v>
      </c>
      <c r="B3898" t="str">
        <f>HYPERLINK("ち/ちゅう　中風　1693　鍼灸要歌集　安井昌玄_ページ_4.jpg")</f>
        <v>ち/ちゅう　中風　1693　鍼灸要歌集　安井昌玄_ページ_4.jpg</v>
      </c>
    </row>
    <row r="3899" spans="1:2" x14ac:dyDescent="0.15">
      <c r="A3899" t="s">
        <v>3872</v>
      </c>
      <c r="B3899" t="str">
        <f>HYPERLINK("ち/ちゅう　中風　1694　鍼灸そかい集　高津敬節_ページ_1.jpg")</f>
        <v>ち/ちゅう　中風　1694　鍼灸そかい集　高津敬節_ページ_1.jpg</v>
      </c>
    </row>
    <row r="3900" spans="1:2" x14ac:dyDescent="0.15">
      <c r="A3900" t="s">
        <v>3873</v>
      </c>
      <c r="B3900" t="str">
        <f>HYPERLINK("ち/ちゅう　中風　1694　鍼灸そかい集　高津敬節_ページ_2.jpg")</f>
        <v>ち/ちゅう　中風　1694　鍼灸そかい集　高津敬節_ページ_2.jpg</v>
      </c>
    </row>
    <row r="3901" spans="1:2" x14ac:dyDescent="0.15">
      <c r="A3901" t="s">
        <v>3874</v>
      </c>
      <c r="B3901" t="str">
        <f>HYPERLINK("ち/ちゅう　中風　1696　広益鍼灸抜萃　著者未詳_ページ_1.jpg")</f>
        <v>ち/ちゅう　中風　1696　広益鍼灸抜萃　著者未詳_ページ_1.jpg</v>
      </c>
    </row>
    <row r="3902" spans="1:2" x14ac:dyDescent="0.15">
      <c r="A3902" t="s">
        <v>3875</v>
      </c>
      <c r="B3902" t="str">
        <f>HYPERLINK("ち/ちゅう　中風　1696　広益鍼灸抜萃　著者未詳_ページ_2.jpg")</f>
        <v>ち/ちゅう　中風　1696　広益鍼灸抜萃　著者未詳_ページ_2.jpg</v>
      </c>
    </row>
    <row r="3903" spans="1:2" x14ac:dyDescent="0.15">
      <c r="A3903" t="s">
        <v>3876</v>
      </c>
      <c r="B3903" t="str">
        <f>HYPERLINK("ち/ちゅう　中風　1696　広益鍼灸抜萃　著者未詳_ページ_3.jpg")</f>
        <v>ち/ちゅう　中風　1696　広益鍼灸抜萃　著者未詳_ページ_3.jpg</v>
      </c>
    </row>
    <row r="3904" spans="1:2" x14ac:dyDescent="0.15">
      <c r="A3904" t="s">
        <v>3877</v>
      </c>
      <c r="B3904" t="str">
        <f>HYPERLINK("ち/ちゅう　中風　1698　鍼灸抜粋大成　岡本一抱_ページ_1.jpg")</f>
        <v>ち/ちゅう　中風　1698　鍼灸抜粋大成　岡本一抱_ページ_1.jpg</v>
      </c>
    </row>
    <row r="3905" spans="1:2" x14ac:dyDescent="0.15">
      <c r="A3905" t="s">
        <v>3878</v>
      </c>
      <c r="B3905" t="str">
        <f>HYPERLINK("ち/ちゅう　中風　1698　鍼灸抜粋大成　岡本一抱_ページ_2.jpg")</f>
        <v>ち/ちゅう　中風　1698　鍼灸抜粋大成　岡本一抱_ページ_2.jpg</v>
      </c>
    </row>
    <row r="3906" spans="1:2" x14ac:dyDescent="0.15">
      <c r="A3906" t="s">
        <v>3879</v>
      </c>
      <c r="B3906" t="str">
        <f>HYPERLINK("ち/ちゅう　中風　1761　挨穴捷径　杉原敦_ページ_1.jpg")</f>
        <v>ち/ちゅう　中風　1761　挨穴捷径　杉原敦_ページ_1.jpg</v>
      </c>
    </row>
    <row r="3907" spans="1:2" x14ac:dyDescent="0.15">
      <c r="A3907" t="s">
        <v>3880</v>
      </c>
      <c r="B3907" t="str">
        <f>HYPERLINK("ち/ちゅう　中風　1761　挨穴捷径　杉原敦_ページ_2.jpg")</f>
        <v>ち/ちゅう　中風　1761　挨穴捷径　杉原敦_ページ_2.jpg</v>
      </c>
    </row>
    <row r="3908" spans="1:2" x14ac:dyDescent="0.15">
      <c r="A3908" t="s">
        <v>3881</v>
      </c>
      <c r="B3908" t="str">
        <f>HYPERLINK("ち/ちゅう　中風　1761　挨穴捷径　杉原敦_ページ_3.jpg")</f>
        <v>ち/ちゅう　中風　1761　挨穴捷径　杉原敦_ページ_3.jpg</v>
      </c>
    </row>
    <row r="3909" spans="1:2" x14ac:dyDescent="0.15">
      <c r="A3909" t="s">
        <v>3882</v>
      </c>
      <c r="B3909" t="str">
        <f>HYPERLINK("ち/ちゅう　中風　1761　挨穴捷径　杉原敦_ページ_4.jpg")</f>
        <v>ち/ちゅう　中風　1761　挨穴捷径　杉原敦_ページ_4.jpg</v>
      </c>
    </row>
    <row r="3910" spans="1:2" x14ac:dyDescent="0.15">
      <c r="A3910" t="s">
        <v>3883</v>
      </c>
      <c r="B3910" t="str">
        <f>HYPERLINK("ち/ちゅう　中風　1765　鍼法弁惑　藤井秀孟_ページ_1.jpg")</f>
        <v>ち/ちゅう　中風　1765　鍼法弁惑　藤井秀孟_ページ_1.jpg</v>
      </c>
    </row>
    <row r="3911" spans="1:2" x14ac:dyDescent="0.15">
      <c r="A3911" t="s">
        <v>3884</v>
      </c>
      <c r="B3911" t="str">
        <f>HYPERLINK("ち/ちゅう　中風　1765　鍼法弁惑　藤井秀孟_ページ_2.jpg")</f>
        <v>ち/ちゅう　中風　1765　鍼法弁惑　藤井秀孟_ページ_2.jpg</v>
      </c>
    </row>
    <row r="3912" spans="1:2" x14ac:dyDescent="0.15">
      <c r="A3912" t="s">
        <v>3885</v>
      </c>
      <c r="B3912" t="str">
        <f>HYPERLINK("ち/ちゅう　中風　1765　鍼法弁惑　藤井秀孟_ページ_3.jpg")</f>
        <v>ち/ちゅう　中風　1765　鍼法弁惑　藤井秀孟_ページ_3.jpg</v>
      </c>
    </row>
    <row r="3913" spans="1:2" x14ac:dyDescent="0.15">
      <c r="A3913" t="s">
        <v>3886</v>
      </c>
      <c r="B3913" t="str">
        <f>HYPERLINK("ち/ちゅう　中風　1765　鍼法弁惑　藤井秀孟_ページ_4.jpg")</f>
        <v>ち/ちゅう　中風　1765　鍼法弁惑　藤井秀孟_ページ_4.jpg</v>
      </c>
    </row>
    <row r="3914" spans="1:2" x14ac:dyDescent="0.15">
      <c r="A3914" t="s">
        <v>3887</v>
      </c>
      <c r="B3914" t="str">
        <f>HYPERLINK("ち/ちゅう　中風　1765　鍼法弁惑　藤井秀孟_ページ_5.jpg")</f>
        <v>ち/ちゅう　中風　1765　鍼法弁惑　藤井秀孟_ページ_5.jpg</v>
      </c>
    </row>
    <row r="3915" spans="1:2" x14ac:dyDescent="0.15">
      <c r="A3915" t="s">
        <v>3888</v>
      </c>
      <c r="B3915" t="str">
        <f>HYPERLINK("ち/ちゅう　中風　1765　鍼法弁惑　藤井秀孟_ページ_6.jpg")</f>
        <v>ち/ちゅう　中風　1765　鍼法弁惑　藤井秀孟_ページ_6.jpg</v>
      </c>
    </row>
    <row r="3916" spans="1:2" x14ac:dyDescent="0.15">
      <c r="A3916" t="s">
        <v>3889</v>
      </c>
      <c r="B3916" t="str">
        <f>HYPERLINK("ち/ちゅう　中風　1765　鍼法弁惑　藤井秀孟_ページ_7.jpg")</f>
        <v>ち/ちゅう　中風　1765　鍼法弁惑　藤井秀孟_ページ_7.jpg</v>
      </c>
    </row>
    <row r="3917" spans="1:2" x14ac:dyDescent="0.15">
      <c r="A3917" t="s">
        <v>3890</v>
      </c>
      <c r="B3917" t="str">
        <f>HYPERLINK("ち/ちゅう　中風　1767　鍼灸則　菅沼周桂_ページ_1.jpg")</f>
        <v>ち/ちゅう　中風　1767　鍼灸則　菅沼周桂_ページ_1.jpg</v>
      </c>
    </row>
    <row r="3918" spans="1:2" x14ac:dyDescent="0.15">
      <c r="A3918" t="s">
        <v>3891</v>
      </c>
      <c r="B3918" t="str">
        <f>HYPERLINK("ち/ちゅう　中風　1767　鍼灸則　菅沼周桂_ページ_2.jpg")</f>
        <v>ち/ちゅう　中風　1767　鍼灸則　菅沼周桂_ページ_2.jpg</v>
      </c>
    </row>
    <row r="3919" spans="1:2" x14ac:dyDescent="0.15">
      <c r="A3919" t="s">
        <v>3892</v>
      </c>
      <c r="B3919" t="str">
        <f>HYPERLINK("ち/ちゅう　中風　1773　鍼灸手引草　大簡室主人_ページ_1.jpg")</f>
        <v>ち/ちゅう　中風　1773　鍼灸手引草　大簡室主人_ページ_1.jpg</v>
      </c>
    </row>
    <row r="3920" spans="1:2" x14ac:dyDescent="0.15">
      <c r="A3920" t="s">
        <v>3893</v>
      </c>
      <c r="B3920" t="str">
        <f>HYPERLINK("ち/ちゅう　中風　1773　鍼灸手引草　大簡室主人_ページ_2.jpg")</f>
        <v>ち/ちゅう　中風　1773　鍼灸手引草　大簡室主人_ページ_2.jpg</v>
      </c>
    </row>
    <row r="3921" spans="1:2" x14ac:dyDescent="0.15">
      <c r="A3921" t="s">
        <v>3894</v>
      </c>
      <c r="B3921" t="str">
        <f>HYPERLINK("ち/ちゅう　中風　1773　鍼灸手引草　大簡室主人_ページ_3.jpg")</f>
        <v>ち/ちゅう　中風　1773　鍼灸手引草　大簡室主人_ページ_3.jpg</v>
      </c>
    </row>
    <row r="3922" spans="1:2" x14ac:dyDescent="0.15">
      <c r="A3922" t="s">
        <v>3895</v>
      </c>
      <c r="B3922" t="str">
        <f>HYPERLINK("ち/ちゅう　中風　1785　鍼書　本城義軒.jpg")</f>
        <v>ち/ちゅう　中風　1785　鍼書　本城義軒.jpg</v>
      </c>
    </row>
    <row r="3923" spans="1:2" x14ac:dyDescent="0.15">
      <c r="A3923" t="s">
        <v>3896</v>
      </c>
      <c r="B3923" t="str">
        <f>HYPERLINK("ち/ちゅう　中風　1792　鍼法要集　源長起_ページ_1.jpg")</f>
        <v>ち/ちゅう　中風　1792　鍼法要集　源長起_ページ_1.jpg</v>
      </c>
    </row>
    <row r="3924" spans="1:2" x14ac:dyDescent="0.15">
      <c r="A3924" t="s">
        <v>3897</v>
      </c>
      <c r="B3924" t="str">
        <f>HYPERLINK("ち/ちゅう　中風　1792　鍼法要集　源長起_ページ_2.jpg")</f>
        <v>ち/ちゅう　中風　1792　鍼法要集　源長起_ページ_2.jpg</v>
      </c>
    </row>
    <row r="3925" spans="1:2" x14ac:dyDescent="0.15">
      <c r="A3925" t="s">
        <v>3898</v>
      </c>
      <c r="B3925" t="str">
        <f>HYPERLINK("ち/ちゅう　中風　1792　鍼法要集　源長起_ページ_3.jpg")</f>
        <v>ち/ちゅう　中風　1792　鍼法要集　源長起_ページ_3.jpg</v>
      </c>
    </row>
    <row r="3926" spans="1:2" x14ac:dyDescent="0.15">
      <c r="A3926" t="s">
        <v>3899</v>
      </c>
      <c r="B3926" t="str">
        <f>HYPERLINK("ち/ちゅう　中風　1792　鍼法要集　源長起_ページ_4.jpg")</f>
        <v>ち/ちゅう　中風　1792　鍼法要集　源長起_ページ_4.jpg</v>
      </c>
    </row>
    <row r="3927" spans="1:2" x14ac:dyDescent="0.15">
      <c r="A3927" t="s">
        <v>3900</v>
      </c>
      <c r="B3927" t="str">
        <f>HYPERLINK("ち/ちゅう　中風　1792　鍼法要集　源長起_ページ_5.jpg")</f>
        <v>ち/ちゅう　中風　1792　鍼法要集　源長起_ページ_5.jpg</v>
      </c>
    </row>
    <row r="3928" spans="1:2" x14ac:dyDescent="0.15">
      <c r="A3928" t="s">
        <v>3901</v>
      </c>
      <c r="B3928" t="str">
        <f>HYPERLINK("ち/ちゅう　中風　1794　杉山流鍼術　島浦和田一.jpg")</f>
        <v>ち/ちゅう　中風　1794　杉山流鍼術　島浦和田一.jpg</v>
      </c>
    </row>
    <row r="3929" spans="1:2" x14ac:dyDescent="0.15">
      <c r="A3929" t="s">
        <v>3902</v>
      </c>
      <c r="B3929" t="str">
        <f>HYPERLINK("ち/ちゅう　中風　1800　岡田流鍼術書　岡田見龍_ページ_1.jpg")</f>
        <v>ち/ちゅう　中風　1800　岡田流鍼術書　岡田見龍_ページ_1.jpg</v>
      </c>
    </row>
    <row r="3930" spans="1:2" x14ac:dyDescent="0.15">
      <c r="A3930" t="s">
        <v>3903</v>
      </c>
      <c r="B3930" t="str">
        <f>HYPERLINK("ち/ちゅう　中風　1800　岡田流鍼術書　岡田見龍_ページ_2.jpg")</f>
        <v>ち/ちゅう　中風　1800　岡田流鍼術書　岡田見龍_ページ_2.jpg</v>
      </c>
    </row>
    <row r="3931" spans="1:2" x14ac:dyDescent="0.15">
      <c r="A3931" t="s">
        <v>3904</v>
      </c>
      <c r="B3931" t="str">
        <f>HYPERLINK("ち/ちゅう　中風　1800　鍼灸備要　小坂元祐_ページ_1.jpg")</f>
        <v>ち/ちゅう　中風　1800　鍼灸備要　小坂元祐_ページ_1.jpg</v>
      </c>
    </row>
    <row r="3932" spans="1:2" x14ac:dyDescent="0.15">
      <c r="A3932" t="s">
        <v>3905</v>
      </c>
      <c r="B3932" t="str">
        <f>HYPERLINK("ち/ちゅう　中風　1800　鍼灸備要　小坂元祐_ページ_2.jpg")</f>
        <v>ち/ちゅう　中風　1800　鍼灸備要　小坂元祐_ページ_2.jpg</v>
      </c>
    </row>
    <row r="3933" spans="1:2" x14ac:dyDescent="0.15">
      <c r="A3933" t="s">
        <v>3906</v>
      </c>
      <c r="B3933" t="str">
        <f>HYPERLINK("ち/ちゅう　中風　1800　鍼灸備要　小坂元祐_ページ_3.jpg")</f>
        <v>ち/ちゅう　中風　1800　鍼灸備要　小坂元祐_ページ_3.jpg</v>
      </c>
    </row>
    <row r="3934" spans="1:2" x14ac:dyDescent="0.15">
      <c r="A3934" t="s">
        <v>3907</v>
      </c>
      <c r="B3934" t="str">
        <f>HYPERLINK("ち/ちゅう　中風　1800　鍼灸備要　小坂元祐_ページ_4.jpg")</f>
        <v>ち/ちゅう　中風　1800　鍼灸備要　小坂元祐_ページ_4.jpg</v>
      </c>
    </row>
    <row r="3935" spans="1:2" x14ac:dyDescent="0.15">
      <c r="A3935" t="s">
        <v>3908</v>
      </c>
      <c r="B3935" t="str">
        <f>HYPERLINK("ち/ちゅう　中風　1800　鍼灸備要　小坂元祐_ページ_5.jpg")</f>
        <v>ち/ちゅう　中風　1800　鍼灸備要　小坂元祐_ページ_5.jpg</v>
      </c>
    </row>
    <row r="3936" spans="1:2" x14ac:dyDescent="0.15">
      <c r="A3936" t="s">
        <v>3909</v>
      </c>
      <c r="B3936" t="str">
        <f>HYPERLINK("ち/ちゅう　中風　1800　鍼灸備要　小坂元祐_ページ_6.jpg")</f>
        <v>ち/ちゅう　中風　1800　鍼灸備要　小坂元祐_ページ_6.jpg</v>
      </c>
    </row>
    <row r="3937" spans="1:2" x14ac:dyDescent="0.15">
      <c r="A3937" t="s">
        <v>3910</v>
      </c>
      <c r="B3937" t="str">
        <f>HYPERLINK("ち/ちゅう　中風　1807　続名家灸選　平井庸信_ページ_1.jpg")</f>
        <v>ち/ちゅう　中風　1807　続名家灸選　平井庸信_ページ_1.jpg</v>
      </c>
    </row>
    <row r="3938" spans="1:2" x14ac:dyDescent="0.15">
      <c r="A3938" t="s">
        <v>3911</v>
      </c>
      <c r="B3938" t="str">
        <f>HYPERLINK("ち/ちゅう　中風　1807　続名家灸選　平井庸信_ページ_2.jpg")</f>
        <v>ち/ちゅう　中風　1807　続名家灸選　平井庸信_ページ_2.jpg</v>
      </c>
    </row>
    <row r="3939" spans="1:2" x14ac:dyDescent="0.15">
      <c r="A3939" t="s">
        <v>3912</v>
      </c>
      <c r="B3939" t="str">
        <f>HYPERLINK("ち/ちゅう　中風　1813　名家灸選　浅井惟亨.jpg")</f>
        <v>ち/ちゅう　中風　1813　名家灸選　浅井惟亨.jpg</v>
      </c>
    </row>
    <row r="3940" spans="1:2" x14ac:dyDescent="0.15">
      <c r="A3940" t="s">
        <v>3913</v>
      </c>
      <c r="B3940" t="str">
        <f>HYPERLINK("ち/ちゅう　中風　1813　名家灸選三編　平井庸信_ページ_1.jpg")</f>
        <v>ち/ちゅう　中風　1813　名家灸選三編　平井庸信_ページ_1.jpg</v>
      </c>
    </row>
    <row r="3941" spans="1:2" x14ac:dyDescent="0.15">
      <c r="A3941" t="s">
        <v>3914</v>
      </c>
      <c r="B3941" t="str">
        <f>HYPERLINK("ち/ちゅう　中風　1813　名家灸選三編　平井庸信_ページ_2.jpg")</f>
        <v>ち/ちゅう　中風　1813　名家灸選三編　平井庸信_ページ_2.jpg</v>
      </c>
    </row>
    <row r="3942" spans="1:2" x14ac:dyDescent="0.15">
      <c r="A3942" t="s">
        <v>3915</v>
      </c>
      <c r="B3942" t="str">
        <f>HYPERLINK("ち/ちゅう　中風　1813　名家灸選三編　平井庸信_ページ_3.jpg")</f>
        <v>ち/ちゅう　中風　1813　名家灸選三編　平井庸信_ページ_3.jpg</v>
      </c>
    </row>
    <row r="3943" spans="1:2" x14ac:dyDescent="0.15">
      <c r="A3943" t="s">
        <v>3916</v>
      </c>
      <c r="B3943" t="str">
        <f>HYPERLINK("ち/ちゅう　中風　1813　名家灸選三編　平井庸信_ページ_4.jpg")</f>
        <v>ち/ちゅう　中風　1813　名家灸選三編　平井庸信_ページ_4.jpg</v>
      </c>
    </row>
    <row r="3944" spans="1:2" x14ac:dyDescent="0.15">
      <c r="A3944" t="s">
        <v>3917</v>
      </c>
      <c r="B3944" t="str">
        <f>HYPERLINK("ち/ちゅう　中風　かぜにあてらるる　1718　鍼灸重宝記　本郷正豊.jpg")</f>
        <v>ち/ちゅう　中風　かぜにあてらるる　1718　鍼灸重宝記　本郷正豊.jpg</v>
      </c>
    </row>
    <row r="3945" spans="1:2" x14ac:dyDescent="0.15">
      <c r="A3945" t="s">
        <v>3918</v>
      </c>
      <c r="B3945" t="str">
        <f>HYPERLINK("ち/ちゅう　中風　半身不随　1912年（大正01）　鍼灸手引草　久木田七郎.jpg")</f>
        <v>ち/ちゅう　中風　半身不随　1912年（大正01）　鍼灸手引草　久木田七郎.jpg</v>
      </c>
    </row>
    <row r="3946" spans="1:2" x14ac:dyDescent="0.15">
      <c r="A3946" t="s">
        <v>3919</v>
      </c>
      <c r="B3946" t="str">
        <f>HYPERLINK("ち/ちゅう　中風　成書年未詳　灸穴集　著者未詳_ページ_1.jpg")</f>
        <v>ち/ちゅう　中風　成書年未詳　灸穴集　著者未詳_ページ_1.jpg</v>
      </c>
    </row>
    <row r="3947" spans="1:2" x14ac:dyDescent="0.15">
      <c r="A3947" t="s">
        <v>3920</v>
      </c>
      <c r="B3947" t="str">
        <f>HYPERLINK("ち/ちゅう　中風　成書年未詳　灸穴集　著者未詳_ページ_2.jpg")</f>
        <v>ち/ちゅう　中風　成書年未詳　灸穴集　著者未詳_ページ_2.jpg</v>
      </c>
    </row>
    <row r="3948" spans="1:2" x14ac:dyDescent="0.15">
      <c r="A3948" t="s">
        <v>3921</v>
      </c>
      <c r="B3948" t="str">
        <f>HYPERLINK("ち/ちゅう　中風　成書年未詳　灸穴集　著者未詳_ページ_3.jpg")</f>
        <v>ち/ちゅう　中風　成書年未詳　灸穴集　著者未詳_ページ_3.jpg</v>
      </c>
    </row>
    <row r="3949" spans="1:2" x14ac:dyDescent="0.15">
      <c r="A3949" t="s">
        <v>3922</v>
      </c>
      <c r="B3949" t="str">
        <f>HYPERLINK("ち/ちゅう　中風　成書年未詳　灸穴集　著者未詳_ページ_4.jpg")</f>
        <v>ち/ちゅう　中風　成書年未詳　灸穴集　著者未詳_ページ_4.jpg</v>
      </c>
    </row>
    <row r="3950" spans="1:2" x14ac:dyDescent="0.15">
      <c r="A3950" t="s">
        <v>3923</v>
      </c>
      <c r="B3950" t="str">
        <f>HYPERLINK("ち/ちゅう　中風　成書年未詳　灸穴集　著者未詳_ページ_5.jpg")</f>
        <v>ち/ちゅう　中風　成書年未詳　灸穴集　著者未詳_ページ_5.jpg</v>
      </c>
    </row>
    <row r="3951" spans="1:2" x14ac:dyDescent="0.15">
      <c r="A3951" t="s">
        <v>3924</v>
      </c>
      <c r="B3951" t="str">
        <f>HYPERLINK("ち/ちゅう　中風　成書年未詳　灸穴集　著者未詳_ページ_6.jpg")</f>
        <v>ち/ちゅう　中風　成書年未詳　灸穴集　著者未詳_ページ_6.jpg</v>
      </c>
    </row>
    <row r="3952" spans="1:2" x14ac:dyDescent="0.15">
      <c r="A3952" t="s">
        <v>3925</v>
      </c>
      <c r="B3952" t="str">
        <f>HYPERLINK("ち/ちゅう　中風　成書年未詳　灸穴集　著者未詳_ページ_7.jpg")</f>
        <v>ち/ちゅう　中風　成書年未詳　灸穴集　著者未詳_ページ_7.jpg</v>
      </c>
    </row>
    <row r="3953" spans="1:2" x14ac:dyDescent="0.15">
      <c r="A3953" t="s">
        <v>3926</v>
      </c>
      <c r="B3953" t="str">
        <f>HYPERLINK("ち/ちゅう　中風　成書年未詳　灸穴集　著者未詳_ページ_8.jpg")</f>
        <v>ち/ちゅう　中風　成書年未詳　灸穴集　著者未詳_ページ_8.jpg</v>
      </c>
    </row>
    <row r="3954" spans="1:2" x14ac:dyDescent="0.15">
      <c r="A3954" t="s">
        <v>3927</v>
      </c>
      <c r="B3954" t="str">
        <f>HYPERLINK("ち/ちゅう　中風　成書年未詳　灸穴集　著者未詳_ページ_9.jpg")</f>
        <v>ち/ちゅう　中風　成書年未詳　灸穴集　著者未詳_ページ_9.jpg</v>
      </c>
    </row>
    <row r="3955" spans="1:2" x14ac:dyDescent="0.15">
      <c r="A3955" t="s">
        <v>3928</v>
      </c>
      <c r="B3955" t="str">
        <f>HYPERLINK("ち/ちゅう　中風　成書年未詳　経穴図解　著者未詳_ページ_1.jpg")</f>
        <v>ち/ちゅう　中風　成書年未詳　経穴図解　著者未詳_ページ_1.jpg</v>
      </c>
    </row>
    <row r="3956" spans="1:2" x14ac:dyDescent="0.15">
      <c r="A3956" t="s">
        <v>3929</v>
      </c>
      <c r="B3956" t="str">
        <f>HYPERLINK("ち/ちゅう　中風　成書年未詳　経穴図解　著者未詳_ページ_2.jpg")</f>
        <v>ち/ちゅう　中風　成書年未詳　経穴図解　著者未詳_ページ_2.jpg</v>
      </c>
    </row>
    <row r="3957" spans="1:2" x14ac:dyDescent="0.15">
      <c r="A3957" t="s">
        <v>3930</v>
      </c>
      <c r="B3957" t="str">
        <f>HYPERLINK("ち/ちゅう　中風、不省人事　1694　選鍼三要集　杉山和一.jpg")</f>
        <v>ち/ちゅう　中風、不省人事　1694　選鍼三要集　杉山和一.jpg</v>
      </c>
    </row>
    <row r="3958" spans="1:2" x14ac:dyDescent="0.15">
      <c r="A3958" t="s">
        <v>3931</v>
      </c>
      <c r="B3958" t="str">
        <f>HYPERLINK("ち/ちゅう　中風、足麻痺、痿弱、痛痒を覚えず　中風、手足しびれ、なえたる人　1780　鍼灸極秘伝　木村太沖.jpg")</f>
        <v>ち/ちゅう　中風、足麻痺、痿弱、痛痒を覚えず　中風、手足しびれ、なえたる人　1780　鍼灸極秘伝　木村太沖.jpg</v>
      </c>
    </row>
    <row r="3959" spans="1:2" x14ac:dyDescent="0.15">
      <c r="A3959" t="s">
        <v>3932</v>
      </c>
      <c r="B3959" t="str">
        <f>HYPERLINK("ち/ちゅう　中風の事　1694　療治之大概集　杉山和一.jpg")</f>
        <v>ち/ちゅう　中風の事　1694　療治之大概集　杉山和一.jpg</v>
      </c>
    </row>
    <row r="3960" spans="1:2" x14ac:dyDescent="0.15">
      <c r="A3960" t="s">
        <v>3933</v>
      </c>
      <c r="B3960" t="str">
        <f>HYPERLINK("ち/ちゅう　中風七穴　1594　経脈方寸秘書　曲直瀬道三.jpg")</f>
        <v>ち/ちゅう　中風七穴　1594　経脈方寸秘書　曲直瀬道三.jpg</v>
      </c>
    </row>
    <row r="3961" spans="1:2" x14ac:dyDescent="0.15">
      <c r="A3961" t="s">
        <v>3934</v>
      </c>
      <c r="B3961" t="str">
        <f>HYPERLINK("ち/ちゅう　中風不語　1703　鍼灸阿是要穴　岡本一抱.jpg")</f>
        <v>ち/ちゅう　中風不語　1703　鍼灸阿是要穴　岡本一抱.jpg</v>
      </c>
    </row>
    <row r="3962" spans="1:2" x14ac:dyDescent="0.15">
      <c r="A3962" t="s">
        <v>3935</v>
      </c>
      <c r="B3962" t="str">
        <f>HYPERLINK("ち/ちゅう　中風不語（中風口噤附 余見口〓　口眼か）　1220　鍼灸資生経　王執中_ページ_1.jpg")</f>
        <v>ち/ちゅう　中風不語（中風口噤附 余見口〓　口眼か）　1220　鍼灸資生経　王執中_ページ_1.jpg</v>
      </c>
    </row>
    <row r="3963" spans="1:2" x14ac:dyDescent="0.15">
      <c r="A3963" t="s">
        <v>3936</v>
      </c>
      <c r="B3963" t="str">
        <f>HYPERLINK("ち/ちゅう　中風不語（中風口噤附 余見口〓　口眼か）　1220　鍼灸資生経　王執中_ページ_2.jpg")</f>
        <v>ち/ちゅう　中風不語（中風口噤附 余見口〓　口眼か）　1220　鍼灸資生経　王執中_ページ_2.jpg</v>
      </c>
    </row>
    <row r="3964" spans="1:2" x14ac:dyDescent="0.15">
      <c r="A3964" t="s">
        <v>3937</v>
      </c>
      <c r="B3964" t="str">
        <f>HYPERLINK("ち/ちゅう　中風之針　1613　古今集鍼法　長生庵了味か.jpg")</f>
        <v>ち/ちゅう　中風之針　1613　古今集鍼法　長生庵了味か.jpg</v>
      </c>
    </row>
    <row r="3965" spans="1:2" x14ac:dyDescent="0.15">
      <c r="A3965" t="s">
        <v>3938</v>
      </c>
      <c r="B3965" t="str">
        <f>HYPERLINK("ち/ちゅう　中風口噤，牙関不開　1315　鍼経摘英集　元・杜思敬「済生抜粋方」.jpg")</f>
        <v>ち/ちゅう　中風口噤，牙関不開　1315　鍼経摘英集　元・杜思敬「済生抜粋方」.jpg</v>
      </c>
    </row>
    <row r="3966" spans="1:2" x14ac:dyDescent="0.15">
      <c r="A3966" t="s">
        <v>3939</v>
      </c>
      <c r="B3966" t="str">
        <f>HYPERLINK("ち/ちゅう　中風口眼か邪　1315　鍼経摘英集　元・杜思敬「済生抜粋方」_ページ_1.jpg")</f>
        <v>ち/ちゅう　中風口眼か邪　1315　鍼経摘英集　元・杜思敬「済生抜粋方」_ページ_1.jpg</v>
      </c>
    </row>
    <row r="3967" spans="1:2" x14ac:dyDescent="0.15">
      <c r="A3967" t="s">
        <v>3940</v>
      </c>
      <c r="B3967" t="str">
        <f>HYPERLINK("ち/ちゅう　中風口眼か邪　1315　鍼経摘英集　元・杜思敬「済生抜粋方」_ページ_2.jpg")</f>
        <v>ち/ちゅう　中風口眼か邪　1315　鍼経摘英集　元・杜思敬「済生抜粋方」_ページ_2.jpg</v>
      </c>
    </row>
    <row r="3968" spans="1:2" x14ac:dyDescent="0.15">
      <c r="A3968" t="s">
        <v>3941</v>
      </c>
      <c r="B3968" t="str">
        <f>HYPERLINK("ち/ちゅう　中風手足不随　1315　鍼経摘英集　元・杜思敬「済生抜粋方」_ページ_1.jpg")</f>
        <v>ち/ちゅう　中風手足不随　1315　鍼経摘英集　元・杜思敬「済生抜粋方」_ページ_1.jpg</v>
      </c>
    </row>
    <row r="3969" spans="1:2" x14ac:dyDescent="0.15">
      <c r="A3969" t="s">
        <v>3942</v>
      </c>
      <c r="B3969" t="str">
        <f>HYPERLINK("ち/ちゅう　中風手足不随　1315　鍼経摘英集　元・杜思敬「済生抜粋方」_ページ_2.jpg")</f>
        <v>ち/ちゅう　中風手足不随　1315　鍼経摘英集　元・杜思敬「済生抜粋方」_ページ_2.jpg</v>
      </c>
    </row>
    <row r="3970" spans="1:2" x14ac:dyDescent="0.15">
      <c r="A3970" t="s">
        <v>3943</v>
      </c>
      <c r="B3970" t="str">
        <f>HYPERLINK("ち/ちゅう　中風針之大事　1685　鍼道秘訣集　御園夢分斎_ページ_1.jpg")</f>
        <v>ち/ちゅう　中風針之大事　1685　鍼道秘訣集　御園夢分斎_ページ_1.jpg</v>
      </c>
    </row>
    <row r="3971" spans="1:2" x14ac:dyDescent="0.15">
      <c r="A3971" t="s">
        <v>3944</v>
      </c>
      <c r="B3971" t="str">
        <f>HYPERLINK("ち/ちゅう　中風針之大事　1685　鍼道秘訣集　御園夢分斎_ページ_2.jpg")</f>
        <v>ち/ちゅう　中風針之大事　1685　鍼道秘訣集　御園夢分斎_ページ_2.jpg</v>
      </c>
    </row>
    <row r="3972" spans="1:2" x14ac:dyDescent="0.15">
      <c r="A3972" t="s">
        <v>3945</v>
      </c>
      <c r="B3972" t="str">
        <f>HYPERLINK("ち/ちゅう　中風針之大事　1685　鍼道秘訣集　御園夢分斎_ページ_3.jpg")</f>
        <v>ち/ちゅう　中風針之大事　1685　鍼道秘訣集　御園夢分斎_ページ_3.jpg</v>
      </c>
    </row>
    <row r="3973" spans="1:2" x14ac:dyDescent="0.15">
      <c r="A3973" t="s">
        <v>3946</v>
      </c>
      <c r="B3973" t="str">
        <f>HYPERLINK("ち/ちゅう　中風麻痺　1758　灸ぜつ塩土伝　三宅意安_ページ_1.jpg")</f>
        <v>ち/ちゅう　中風麻痺　1758　灸ぜつ塩土伝　三宅意安_ページ_1.jpg</v>
      </c>
    </row>
    <row r="3974" spans="1:2" x14ac:dyDescent="0.15">
      <c r="A3974" t="s">
        <v>3947</v>
      </c>
      <c r="B3974" t="str">
        <f>HYPERLINK("ち/ちゅう　中風麻痺　1758　灸ぜつ塩土伝　三宅意安_ページ_2.jpg")</f>
        <v>ち/ちゅう　中風麻痺　1758　灸ぜつ塩土伝　三宅意安_ページ_2.jpg</v>
      </c>
    </row>
    <row r="3975" spans="1:2" x14ac:dyDescent="0.15">
      <c r="A3975" t="s">
        <v>3948</v>
      </c>
      <c r="B3975" t="str">
        <f>HYPERLINK("ち/ちゅう　中風，気塞涎上，不語昏危者　1315　鍼経摘英集　元・杜思敬「済生抜粋方」_ページ_1.jpg")</f>
        <v>ち/ちゅう　中風，気塞涎上，不語昏危者　1315　鍼経摘英集　元・杜思敬「済生抜粋方」_ページ_1.jpg</v>
      </c>
    </row>
    <row r="3976" spans="1:2" x14ac:dyDescent="0.15">
      <c r="A3976" t="s">
        <v>3949</v>
      </c>
      <c r="B3976" t="str">
        <f>HYPERLINK("ち/ちゅう　中風，気塞涎上，不語昏危者　1315　鍼経摘英集　元・杜思敬「済生抜粋方」_ページ_2.jpg")</f>
        <v>ち/ちゅう　中風，気塞涎上，不語昏危者　1315　鍼経摘英集　元・杜思敬「済生抜粋方」_ページ_2.jpg</v>
      </c>
    </row>
    <row r="3977" spans="1:2" x14ac:dyDescent="0.15">
      <c r="A3977" t="s">
        <v>3950</v>
      </c>
      <c r="B3977" t="str">
        <f>HYPERLINK("ち/ちゅう　中魚毒　うをのどくにあたる　1780　鍼灸極秘伝　木村太沖.jpg")</f>
        <v>ち/ちゅう　中魚毒　うをのどくにあたる　1780　鍼灸極秘伝　木村太沖.jpg</v>
      </c>
    </row>
    <row r="3978" spans="1:2" x14ac:dyDescent="0.15">
      <c r="A3978" t="s">
        <v>3951</v>
      </c>
      <c r="B3978" t="str">
        <f>HYPERLINK("ち/ちゅう　卒中悪　0650　千金方　孫思ばく.jpg")</f>
        <v>ち/ちゅう　卒中悪　0650　千金方　孫思ばく.jpg</v>
      </c>
    </row>
    <row r="3979" spans="1:2" x14ac:dyDescent="0.15">
      <c r="A3979" t="s">
        <v>3952</v>
      </c>
      <c r="B3979" t="str">
        <f>HYPERLINK("ち/ちゅう　注夏　なつやせ　1703　鍼灸阿是要穴　岡本一抱.jpg")</f>
        <v>ち/ちゅう　注夏　なつやせ　1703　鍼灸阿是要穴　岡本一抱.jpg</v>
      </c>
    </row>
    <row r="3980" spans="1:2" x14ac:dyDescent="0.15">
      <c r="A3980" t="s">
        <v>3953</v>
      </c>
      <c r="B3980" t="str">
        <f>HYPERLINK("ち/ちゅう　注夏　解えき（＝人＋亦）　1669　鍼灸枢要　山本玄通_ページ_1.jpg")</f>
        <v>ち/ちゅう　注夏　解えき（＝人＋亦）　1669　鍼灸枢要　山本玄通_ページ_1.jpg</v>
      </c>
    </row>
    <row r="3981" spans="1:2" x14ac:dyDescent="0.15">
      <c r="A3981" t="s">
        <v>3954</v>
      </c>
      <c r="B3981" t="str">
        <f>HYPERLINK("ち/ちゅう　注夏　解えき（＝人＋亦）　1669　鍼灸枢要　山本玄通_ページ_2.jpg")</f>
        <v>ち/ちゅう　注夏　解えき（＝人＋亦）　1669　鍼灸枢要　山本玄通_ページ_2.jpg</v>
      </c>
    </row>
    <row r="3982" spans="1:2" x14ac:dyDescent="0.15">
      <c r="A3982" t="s">
        <v>3955</v>
      </c>
      <c r="B3982" t="str">
        <f>HYPERLINK("ち/ちゅう　注夏病　1807　続名家灸選　平井庸信.jpg")</f>
        <v>ち/ちゅう　注夏病　1807　続名家灸選　平井庸信.jpg</v>
      </c>
    </row>
    <row r="3983" spans="1:2" x14ac:dyDescent="0.15">
      <c r="A3983" t="s">
        <v>3956</v>
      </c>
      <c r="B3983" t="str">
        <f>HYPERLINK("ち/ちゅう　注夏病　なつの時びょうもち春の末、夏の初に頭眩・眼花・腿酸（しびれ）・脚軟（だるく）、五心煩熱（ほめき）し、口苦く口乾き、力無く、好（よ）く眠り、食少なく、胸膈利せざる者　1780　鍼灸極秘伝　木村太沖.jpg")</f>
        <v>ち/ちゅう　注夏病　なつの時びょうもち春の末、夏の初に頭眩・眼花・腿酸（しびれ）・脚軟（だるく）、五心煩熱（ほめき）し、口苦く口乾き、力無く、好（よ）く眠り、食少なく、胸膈利せざる者　1780　鍼灸極秘伝　木村太沖.jpg</v>
      </c>
    </row>
    <row r="3984" spans="1:2" x14ac:dyDescent="0.15">
      <c r="A3984" t="s">
        <v>3957</v>
      </c>
      <c r="B3984" t="str">
        <f>HYPERLINK("ち/ちゅう　注車注船　ふねによう　1686　鍼灸要法指南　岩田利斎.jpg")</f>
        <v>ち/ちゅう　注車注船　ふねによう　1686　鍼灸要法指南　岩田利斎.jpg</v>
      </c>
    </row>
    <row r="3985" spans="1:2" x14ac:dyDescent="0.15">
      <c r="A3985" t="s">
        <v>3958</v>
      </c>
      <c r="B3985" t="str">
        <f>HYPERLINK("ち/ちゅう　肘攣筋痛　1329　扁鵲神応鍼灸玉龍経　元・王国瑞_ページ_1.jpg")</f>
        <v>ち/ちゅう　肘攣筋痛　1329　扁鵲神応鍼灸玉龍経　元・王国瑞_ページ_1.jpg</v>
      </c>
    </row>
    <row r="3986" spans="1:2" x14ac:dyDescent="0.15">
      <c r="A3986" t="s">
        <v>3959</v>
      </c>
      <c r="B3986" t="str">
        <f>HYPERLINK("ち/ちゅう　肘攣筋痛　1329　扁鵲神応鍼灸玉龍経　元・王国瑞_ページ_2.jpg")</f>
        <v>ち/ちゅう　肘攣筋痛　1329　扁鵲神応鍼灸玉龍経　元・王国瑞_ページ_2.jpg</v>
      </c>
    </row>
    <row r="3987" spans="1:2" x14ac:dyDescent="0.15">
      <c r="A3987" t="s">
        <v>3960</v>
      </c>
      <c r="B3987" t="str">
        <f>HYPERLINK("ち/ちゅう　肘痛　1220　鍼灸資生経　王執中_ページ_1.jpg")</f>
        <v>ち/ちゅう　肘痛　1220　鍼灸資生経　王執中_ページ_1.jpg</v>
      </c>
    </row>
    <row r="3988" spans="1:2" x14ac:dyDescent="0.15">
      <c r="A3988" t="s">
        <v>3961</v>
      </c>
      <c r="B3988" t="str">
        <f>HYPERLINK("ち/ちゅう　肘痛　1220　鍼灸資生経　王執中_ページ_2.jpg")</f>
        <v>ち/ちゅう　肘痛　1220　鍼灸資生経　王執中_ページ_2.jpg</v>
      </c>
    </row>
    <row r="3989" spans="1:2" x14ac:dyDescent="0.15">
      <c r="A3989" t="s">
        <v>3962</v>
      </c>
      <c r="B3989" t="str">
        <f>HYPERLINK("ち/ちゅう　肘痛　1912年（大正01）　鍼灸手引草　久木田七郎.jpg")</f>
        <v>ち/ちゅう　肘痛　1912年（大正01）　鍼灸手引草　久木田七郎.jpg</v>
      </c>
    </row>
    <row r="3990" spans="1:2" x14ac:dyDescent="0.15">
      <c r="A3990" t="s">
        <v>3963</v>
      </c>
      <c r="B3990" t="str">
        <f>HYPERLINK("ち/ちゅう　肘臂　1669　鍼灸枢要　山本玄通_ページ_1.jpg")</f>
        <v>ち/ちゅう　肘臂　1669　鍼灸枢要　山本玄通_ページ_1.jpg</v>
      </c>
    </row>
    <row r="3991" spans="1:2" x14ac:dyDescent="0.15">
      <c r="A3991" t="s">
        <v>3964</v>
      </c>
      <c r="B3991" t="str">
        <f>HYPERLINK("ち/ちゅう　肘臂　1669　鍼灸枢要　山本玄通_ページ_2.jpg")</f>
        <v>ち/ちゅう　肘臂　1669　鍼灸枢要　山本玄通_ページ_2.jpg</v>
      </c>
    </row>
    <row r="3992" spans="1:2" x14ac:dyDescent="0.15">
      <c r="A3992" t="s">
        <v>3965</v>
      </c>
      <c r="B3992" t="str">
        <f>HYPERLINK("ち/ちゅう　肘臂　1669　鍼灸枢要　山本玄通_ページ_3.jpg")</f>
        <v>ち/ちゅう　肘臂　1669　鍼灸枢要　山本玄通_ページ_3.jpg</v>
      </c>
    </row>
    <row r="3993" spans="1:2" x14ac:dyDescent="0.15">
      <c r="A3993" t="s">
        <v>3966</v>
      </c>
      <c r="B3993" t="str">
        <f>HYPERLINK("ち/ちゅう　肘臂　1669　鍼灸枢要　山本玄通_ページ_4.jpg")</f>
        <v>ち/ちゅう　肘臂　1669　鍼灸枢要　山本玄通_ページ_4.jpg</v>
      </c>
    </row>
    <row r="3994" spans="1:2" x14ac:dyDescent="0.15">
      <c r="A3994" t="s">
        <v>3967</v>
      </c>
      <c r="B3994" t="str">
        <f>HYPERLINK("ち/ちゅう　肘臂　1800　鍼灸備要　小坂元祐.jpg")</f>
        <v>ち/ちゅう　肘臂　1800　鍼灸備要　小坂元祐.jpg</v>
      </c>
    </row>
    <row r="3995" spans="1:2" x14ac:dyDescent="0.15">
      <c r="A3995" t="s">
        <v>3968</v>
      </c>
      <c r="B3995" t="str">
        <f>HYPERLINK("ち/ちゅう　虫獣　1773　鍼灸手引草　大簡室主人.jpg")</f>
        <v>ち/ちゅう　虫獣　1773　鍼灸手引草　大簡室主人.jpg</v>
      </c>
    </row>
    <row r="3996" spans="1:2" x14ac:dyDescent="0.15">
      <c r="A3996" t="s">
        <v>3969</v>
      </c>
      <c r="B3996" t="str">
        <f>HYPERLINK("ち/ちゅう　虫獣　むしけものにかまるる　1718　鍼灸重宝記　本郷正豊.jpg")</f>
        <v>ち/ちゅう　虫獣　むしけものにかまるる　1718　鍼灸重宝記　本郷正豊.jpg</v>
      </c>
    </row>
    <row r="3997" spans="1:2" x14ac:dyDescent="0.15">
      <c r="A3997" t="s">
        <v>3970</v>
      </c>
      <c r="B3997" t="str">
        <f>HYPERLINK("ち/ちゅう　虫獣傷　1686　鍼灸要法指南　岩田利斎.jpg")</f>
        <v>ち/ちゅう　虫獣傷　1686　鍼灸要法指南　岩田利斎.jpg</v>
      </c>
    </row>
    <row r="3998" spans="1:2" x14ac:dyDescent="0.15">
      <c r="A3998" t="s">
        <v>3971</v>
      </c>
      <c r="B3998" t="str">
        <f>HYPERLINK("ち/ちゅう　虫証　むしのわく病　虫症　1887（明治20）　鍼灸備要　青山道醇.jpg")</f>
        <v>ち/ちゅう　虫証　むしのわく病　虫症　1887（明治20）　鍼灸備要　青山道醇.jpg</v>
      </c>
    </row>
    <row r="3999" spans="1:2" x14ac:dyDescent="0.15">
      <c r="A3999" t="s">
        <v>3972</v>
      </c>
      <c r="B3999" t="str">
        <f>HYPERLINK("ち/ちゅう　諸虫　1669　鍼灸枢要　山本玄通_ページ_1.jpg")</f>
        <v>ち/ちゅう　諸虫　1669　鍼灸枢要　山本玄通_ページ_1.jpg</v>
      </c>
    </row>
    <row r="4000" spans="1:2" x14ac:dyDescent="0.15">
      <c r="A4000" t="s">
        <v>3973</v>
      </c>
      <c r="B4000" t="str">
        <f>HYPERLINK("ち/ちゅう　諸虫　1669　鍼灸枢要　山本玄通_ページ_2.jpg")</f>
        <v>ち/ちゅう　諸虫　1669　鍼灸枢要　山本玄通_ページ_2.jpg</v>
      </c>
    </row>
    <row r="4001" spans="1:2" x14ac:dyDescent="0.15">
      <c r="A4001" t="s">
        <v>3974</v>
      </c>
      <c r="B4001" t="str">
        <f>HYPERLINK("ち/ちゅう　諸虫　1669　鍼灸枢要　山本玄通_ページ_3.jpg")</f>
        <v>ち/ちゅう　諸虫　1669　鍼灸枢要　山本玄通_ページ_3.jpg</v>
      </c>
    </row>
    <row r="4002" spans="1:2" x14ac:dyDescent="0.15">
      <c r="A4002" t="s">
        <v>3975</v>
      </c>
      <c r="B4002" t="str">
        <f>HYPERLINK("ち/ちゅう　諸虫　1680　鍼灸抜萃　著者未詳.jpg")</f>
        <v>ち/ちゅう　諸虫　1680　鍼灸抜萃　著者未詳.jpg</v>
      </c>
    </row>
    <row r="4003" spans="1:2" x14ac:dyDescent="0.15">
      <c r="A4003" t="s">
        <v>3976</v>
      </c>
      <c r="B4003" t="str">
        <f>HYPERLINK("ち/ちゅう　諸虫　1686　鍼灸要法指南　岩田利斎.jpg")</f>
        <v>ち/ちゅう　諸虫　1686　鍼灸要法指南　岩田利斎.jpg</v>
      </c>
    </row>
    <row r="4004" spans="1:2" x14ac:dyDescent="0.15">
      <c r="A4004" t="s">
        <v>3977</v>
      </c>
      <c r="B4004" t="str">
        <f>HYPERLINK("ち/ちゅう　諸虫　1693　鍼灸要歌集　安井昌玄_ページ_1.jpg")</f>
        <v>ち/ちゅう　諸虫　1693　鍼灸要歌集　安井昌玄_ページ_1.jpg</v>
      </c>
    </row>
    <row r="4005" spans="1:2" x14ac:dyDescent="0.15">
      <c r="A4005" t="s">
        <v>3978</v>
      </c>
      <c r="B4005" t="str">
        <f>HYPERLINK("ち/ちゅう　諸虫　1693　鍼灸要歌集　安井昌玄_ページ_2.jpg")</f>
        <v>ち/ちゅう　諸虫　1693　鍼灸要歌集　安井昌玄_ページ_2.jpg</v>
      </c>
    </row>
    <row r="4006" spans="1:2" x14ac:dyDescent="0.15">
      <c r="A4006" t="s">
        <v>3979</v>
      </c>
      <c r="B4006" t="str">
        <f>HYPERLINK("ち/ちゅう　諸虫　1693　鍼灸要歌集　安井昌玄_ページ_3.jpg")</f>
        <v>ち/ちゅう　諸虫　1693　鍼灸要歌集　安井昌玄_ページ_3.jpg</v>
      </c>
    </row>
    <row r="4007" spans="1:2" x14ac:dyDescent="0.15">
      <c r="A4007" t="s">
        <v>3980</v>
      </c>
      <c r="B4007" t="str">
        <f>HYPERLINK("ち/ちゅう　諸虫　1693　鍼灸要歌集　安井昌玄_ページ_4.jpg")</f>
        <v>ち/ちゅう　諸虫　1693　鍼灸要歌集　安井昌玄_ページ_4.jpg</v>
      </c>
    </row>
    <row r="4008" spans="1:2" x14ac:dyDescent="0.15">
      <c r="A4008" t="s">
        <v>3981</v>
      </c>
      <c r="B4008" t="str">
        <f>HYPERLINK("ち/ちゅう　諸虫　1696　広益鍼灸抜萃　著者未詳_ページ_1.jpg")</f>
        <v>ち/ちゅう　諸虫　1696　広益鍼灸抜萃　著者未詳_ページ_1.jpg</v>
      </c>
    </row>
    <row r="4009" spans="1:2" x14ac:dyDescent="0.15">
      <c r="A4009" t="s">
        <v>3982</v>
      </c>
      <c r="B4009" t="str">
        <f>HYPERLINK("ち/ちゅう　諸虫　1696　広益鍼灸抜萃　著者未詳_ページ_2.jpg")</f>
        <v>ち/ちゅう　諸虫　1696　広益鍼灸抜萃　著者未詳_ページ_2.jpg</v>
      </c>
    </row>
    <row r="4010" spans="1:2" x14ac:dyDescent="0.15">
      <c r="A4010" t="s">
        <v>3983</v>
      </c>
      <c r="B4010" t="str">
        <f>HYPERLINK("ち/ちゅう　諸虫　1696　広益鍼灸抜萃　著者未詳_ページ_3.jpg")</f>
        <v>ち/ちゅう　諸虫　1696　広益鍼灸抜萃　著者未詳_ページ_3.jpg</v>
      </c>
    </row>
    <row r="4011" spans="1:2" x14ac:dyDescent="0.15">
      <c r="A4011" t="s">
        <v>3984</v>
      </c>
      <c r="B4011" t="str">
        <f>HYPERLINK("ち/ちゅう　諸虫　1696　広益鍼灸抜萃　著者未詳_ページ_4.jpg")</f>
        <v>ち/ちゅう　諸虫　1696　広益鍼灸抜萃　著者未詳_ページ_4.jpg</v>
      </c>
    </row>
    <row r="4012" spans="1:2" x14ac:dyDescent="0.15">
      <c r="A4012" t="s">
        <v>3985</v>
      </c>
      <c r="B4012" t="str">
        <f>HYPERLINK("ち/ちゅう　諸虫　1792　鍼法要集　源長起_ページ_1.jpg")</f>
        <v>ち/ちゅう　諸虫　1792　鍼法要集　源長起_ページ_1.jpg</v>
      </c>
    </row>
    <row r="4013" spans="1:2" x14ac:dyDescent="0.15">
      <c r="A4013" t="s">
        <v>3986</v>
      </c>
      <c r="B4013" t="str">
        <f>HYPERLINK("ち/ちゅう　諸虫　1792　鍼法要集　源長起_ページ_2.jpg")</f>
        <v>ち/ちゅう　諸虫　1792　鍼法要集　源長起_ページ_2.jpg</v>
      </c>
    </row>
    <row r="4014" spans="1:2" x14ac:dyDescent="0.15">
      <c r="A4014" t="s">
        <v>3987</v>
      </c>
      <c r="B4014" t="str">
        <f>HYPERLINK("ち/ちゅう　諸虫　1792　鍼法要集　源長起_ページ_3.jpg")</f>
        <v>ち/ちゅう　諸虫　1792　鍼法要集　源長起_ページ_3.jpg</v>
      </c>
    </row>
    <row r="4015" spans="1:2" x14ac:dyDescent="0.15">
      <c r="A4015" t="s">
        <v>3988</v>
      </c>
      <c r="B4015" t="str">
        <f>HYPERLINK("ち/ちゅう　諸虫　1792　鍼法要集　源長起_ページ_4.jpg")</f>
        <v>ち/ちゅう　諸虫　1792　鍼法要集　源長起_ページ_4.jpg</v>
      </c>
    </row>
    <row r="4016" spans="1:2" x14ac:dyDescent="0.15">
      <c r="A4016" t="s">
        <v>3989</v>
      </c>
      <c r="B4016" t="str">
        <f>HYPERLINK("ち/ちゅう　諸虫　1794　杉山流鍼術　島浦和田一_ページ_1.jpg")</f>
        <v>ち/ちゅう　諸虫　1794　杉山流鍼術　島浦和田一_ページ_1.jpg</v>
      </c>
    </row>
    <row r="4017" spans="1:2" x14ac:dyDescent="0.15">
      <c r="A4017" t="s">
        <v>3990</v>
      </c>
      <c r="B4017" t="str">
        <f>HYPERLINK("ち/ちゅう　諸虫　1794　杉山流鍼術　島浦和田一_ページ_2.jpg")</f>
        <v>ち/ちゅう　諸虫　1794　杉山流鍼術　島浦和田一_ページ_2.jpg</v>
      </c>
    </row>
    <row r="4018" spans="1:2" x14ac:dyDescent="0.15">
      <c r="A4018" t="s">
        <v>3991</v>
      </c>
      <c r="B4018" t="str">
        <f>HYPERLINK("ち/ちゅう　諸虫　1794　杉山流鍼術　島浦和田一_ページ_3.jpg")</f>
        <v>ち/ちゅう　諸虫　1794　杉山流鍼術　島浦和田一_ページ_3.jpg</v>
      </c>
    </row>
    <row r="4019" spans="1:2" x14ac:dyDescent="0.15">
      <c r="A4019" t="s">
        <v>3992</v>
      </c>
      <c r="B4019" t="str">
        <f>HYPERLINK("ち/ちゅう　諸虫　もろもろのむし　1718　鍼灸重宝記　本郷正豊_ページ_1.jpg")</f>
        <v>ち/ちゅう　諸虫　もろもろのむし　1718　鍼灸重宝記　本郷正豊_ページ_1.jpg</v>
      </c>
    </row>
    <row r="4020" spans="1:2" x14ac:dyDescent="0.15">
      <c r="A4020" t="s">
        <v>3993</v>
      </c>
      <c r="B4020" t="str">
        <f>HYPERLINK("ち/ちゅう　諸虫　同図　1679　鍼法奇貨　渡辺東伯_ページ_01.jpg")</f>
        <v>ち/ちゅう　諸虫　同図　1679　鍼法奇貨　渡辺東伯_ページ_01.jpg</v>
      </c>
    </row>
    <row r="4021" spans="1:2" x14ac:dyDescent="0.15">
      <c r="A4021" t="s">
        <v>3994</v>
      </c>
      <c r="B4021" t="str">
        <f>HYPERLINK("ち/ちゅう　諸虫　同図　1679　鍼法奇貨　渡辺東伯_ページ_02.jpg")</f>
        <v>ち/ちゅう　諸虫　同図　1679　鍼法奇貨　渡辺東伯_ページ_02.jpg</v>
      </c>
    </row>
    <row r="4022" spans="1:2" x14ac:dyDescent="0.15">
      <c r="A4022" t="s">
        <v>3995</v>
      </c>
      <c r="B4022" t="str">
        <f>HYPERLINK("ち/ちゅう　諸虫　同図　1679　鍼法奇貨　渡辺東伯_ページ_03.jpg")</f>
        <v>ち/ちゅう　諸虫　同図　1679　鍼法奇貨　渡辺東伯_ページ_03.jpg</v>
      </c>
    </row>
    <row r="4023" spans="1:2" x14ac:dyDescent="0.15">
      <c r="A4023" t="s">
        <v>3996</v>
      </c>
      <c r="B4023" t="str">
        <f>HYPERLINK("ち/ちゅう　諸虫　同図　1679　鍼法奇貨　渡辺東伯_ページ_04.jpg")</f>
        <v>ち/ちゅう　諸虫　同図　1679　鍼法奇貨　渡辺東伯_ページ_04.jpg</v>
      </c>
    </row>
    <row r="4024" spans="1:2" x14ac:dyDescent="0.15">
      <c r="A4024" t="s">
        <v>3997</v>
      </c>
      <c r="B4024" t="str">
        <f>HYPERLINK("ち/ちゅう　諸虫　同図　1679　鍼法奇貨　渡辺東伯_ページ_05.jpg")</f>
        <v>ち/ちゅう　諸虫　同図　1679　鍼法奇貨　渡辺東伯_ページ_05.jpg</v>
      </c>
    </row>
    <row r="4025" spans="1:2" x14ac:dyDescent="0.15">
      <c r="A4025" t="s">
        <v>3998</v>
      </c>
      <c r="B4025" t="str">
        <f>HYPERLINK("ち/ちゅう　諸虫　同図　1679　鍼法奇貨　渡辺東伯_ページ_06.jpg")</f>
        <v>ち/ちゅう　諸虫　同図　1679　鍼法奇貨　渡辺東伯_ページ_06.jpg</v>
      </c>
    </row>
    <row r="4026" spans="1:2" x14ac:dyDescent="0.15">
      <c r="A4026" t="s">
        <v>3999</v>
      </c>
      <c r="B4026" t="str">
        <f>HYPERLINK("ち/ちゅう　諸虫　同図　1679　鍼法奇貨　渡辺東伯_ページ_07.jpg")</f>
        <v>ち/ちゅう　諸虫　同図　1679　鍼法奇貨　渡辺東伯_ページ_07.jpg</v>
      </c>
    </row>
    <row r="4027" spans="1:2" x14ac:dyDescent="0.15">
      <c r="A4027" t="s">
        <v>4000</v>
      </c>
      <c r="B4027" t="str">
        <f>HYPERLINK("ち/ちゅう　諸虫　同図　1679　鍼法奇貨　渡辺東伯_ページ_08.jpg")</f>
        <v>ち/ちゅう　諸虫　同図　1679　鍼法奇貨　渡辺東伯_ページ_08.jpg</v>
      </c>
    </row>
    <row r="4028" spans="1:2" x14ac:dyDescent="0.15">
      <c r="A4028" t="s">
        <v>4001</v>
      </c>
      <c r="B4028" t="str">
        <f>HYPERLINK("ち/ちゅう　諸虫　同図　1679　鍼法奇貨　渡辺東伯_ページ_09.jpg")</f>
        <v>ち/ちゅう　諸虫　同図　1679　鍼法奇貨　渡辺東伯_ページ_09.jpg</v>
      </c>
    </row>
    <row r="4029" spans="1:2" x14ac:dyDescent="0.15">
      <c r="A4029" t="s">
        <v>4002</v>
      </c>
      <c r="B4029" t="str">
        <f>HYPERLINK("ち/ちゅう　諸虫　同図　1679　鍼法奇貨　渡辺東伯_ページ_10.jpg")</f>
        <v>ち/ちゅう　諸虫　同図　1679　鍼法奇貨　渡辺東伯_ページ_10.jpg</v>
      </c>
    </row>
    <row r="4030" spans="1:2" x14ac:dyDescent="0.15">
      <c r="A4030" t="s">
        <v>4003</v>
      </c>
      <c r="B4030" t="str">
        <f>HYPERLINK("ち/ちゅう　諸虫　同図　1679　鍼法奇貨　渡辺東伯_ページ_11.jpg")</f>
        <v>ち/ちゅう　諸虫　同図　1679　鍼法奇貨　渡辺東伯_ページ_11.jpg</v>
      </c>
    </row>
    <row r="4031" spans="1:2" x14ac:dyDescent="0.15">
      <c r="A4031" t="s">
        <v>4004</v>
      </c>
      <c r="B4031" t="str">
        <f>HYPERLINK("ち/ちゅう　諸虫　同図　1679　鍼法奇貨　渡辺東伯_ページ_12.jpg")</f>
        <v>ち/ちゅう　諸虫　同図　1679　鍼法奇貨　渡辺東伯_ページ_12.jpg</v>
      </c>
    </row>
    <row r="4032" spans="1:2" x14ac:dyDescent="0.15">
      <c r="A4032" t="s">
        <v>4005</v>
      </c>
      <c r="B4032" t="str">
        <f>HYPERLINK("ち/ちゅう　諸虫　同図　1679　鍼法奇貨　渡辺東伯_ページ_13.jpg")</f>
        <v>ち/ちゅう　諸虫　同図　1679　鍼法奇貨　渡辺東伯_ページ_13.jpg</v>
      </c>
    </row>
    <row r="4033" spans="1:2" x14ac:dyDescent="0.15">
      <c r="A4033" t="s">
        <v>4006</v>
      </c>
      <c r="B4033" t="str">
        <f>HYPERLINK("ち/ちゅう　諸虫　同図　1679　鍼法奇貨　渡辺東伯_ページ_14.jpg")</f>
        <v>ち/ちゅう　諸虫　同図　1679　鍼法奇貨　渡辺東伯_ページ_14.jpg</v>
      </c>
    </row>
    <row r="4034" spans="1:2" x14ac:dyDescent="0.15">
      <c r="A4034" t="s">
        <v>4007</v>
      </c>
      <c r="B4034" t="str">
        <f>HYPERLINK("ち/ちゅう　諸虫　同図　1679　鍼法奇貨　渡辺東伯_ページ_15.jpg")</f>
        <v>ち/ちゅう　諸虫　同図　1679　鍼法奇貨　渡辺東伯_ページ_15.jpg</v>
      </c>
    </row>
    <row r="4035" spans="1:2" x14ac:dyDescent="0.15">
      <c r="A4035" t="s">
        <v>4008</v>
      </c>
      <c r="B4035" t="str">
        <f>HYPERLINK("ち/ちゅう　諸虫　同図　1679　鍼法奇貨　渡辺東伯_ページ_16.jpg")</f>
        <v>ち/ちゅう　諸虫　同図　1679　鍼法奇貨　渡辺東伯_ページ_16.jpg</v>
      </c>
    </row>
    <row r="4036" spans="1:2" x14ac:dyDescent="0.15">
      <c r="A4036" t="s">
        <v>4009</v>
      </c>
      <c r="B4036" t="str">
        <f>HYPERLINK("ち/ちゅう　諸虫　成書年未詳　灸穴集　著者未詳_ページ_1.jpg")</f>
        <v>ち/ちゅう　諸虫　成書年未詳　灸穴集　著者未詳_ページ_1.jpg</v>
      </c>
    </row>
    <row r="4037" spans="1:2" x14ac:dyDescent="0.15">
      <c r="A4037" t="s">
        <v>4010</v>
      </c>
      <c r="B4037" t="str">
        <f>HYPERLINK("ち/ちゅう　諸虫　成書年未詳　灸穴集　著者未詳_ページ_2.jpg")</f>
        <v>ち/ちゅう　諸虫　成書年未詳　灸穴集　著者未詳_ページ_2.jpg</v>
      </c>
    </row>
    <row r="4038" spans="1:2" x14ac:dyDescent="0.15">
      <c r="A4038" t="s">
        <v>4011</v>
      </c>
      <c r="B4038" t="str">
        <f>HYPERLINK("ち/ちゅう　諸虫　成書年未詳　灸穴集　著者未詳_ページ_3.jpg")</f>
        <v>ち/ちゅう　諸虫　成書年未詳　灸穴集　著者未詳_ページ_3.jpg</v>
      </c>
    </row>
    <row r="4039" spans="1:2" x14ac:dyDescent="0.15">
      <c r="A4039" t="s">
        <v>4012</v>
      </c>
      <c r="B4039" t="str">
        <f>HYPERLINK("ち/ちゅう　諸蟲門　もろもろのむしの事　1694　療治之大概集　杉山和一.jpg")</f>
        <v>ち/ちゅう　諸蟲門　もろもろのむしの事　1694　療治之大概集　杉山和一.jpg</v>
      </c>
    </row>
    <row r="4040" spans="1:2" x14ac:dyDescent="0.15">
      <c r="A4040" t="s">
        <v>4013</v>
      </c>
      <c r="B4040" t="str">
        <f>HYPERLINK("ち/ちょう　ちょうか　1694　選鍼三要集　杉山和一.jpg")</f>
        <v>ち/ちょう　ちょうか　1694　選鍼三要集　杉山和一.jpg</v>
      </c>
    </row>
    <row r="4041" spans="1:2" x14ac:dyDescent="0.15">
      <c r="A4041" t="s">
        <v>4014</v>
      </c>
      <c r="B4041" t="str">
        <f>HYPERLINK("ち/ちょう　ちょうか（ちょうか）　ふる血のかたまり　子宮血塊　1887（明治20）　鍼灸備要　青山道醇.jpg")</f>
        <v>ち/ちょう　ちょうか（ちょうか）　ふる血のかたまり　子宮血塊　1887（明治20）　鍼灸備要　青山道醇.jpg</v>
      </c>
    </row>
    <row r="4042" spans="1:2" x14ac:dyDescent="0.15">
      <c r="A4042" t="s">
        <v>4015</v>
      </c>
      <c r="B4042" t="str">
        <f>HYPERLINK("ち/ちょう　疔　1773　鍼灸手引草　大簡室主人.jpg")</f>
        <v>ち/ちょう　疔　1773　鍼灸手引草　大簡室主人.jpg</v>
      </c>
    </row>
    <row r="4043" spans="1:2" x14ac:dyDescent="0.15">
      <c r="A4043" t="s">
        <v>4016</v>
      </c>
      <c r="B4043" t="str">
        <f>HYPERLINK("ち/ちょう　疔　丁瘡　1226　備急灸法　宋・聞人耆年.jpg")</f>
        <v>ち/ちょう　疔　丁瘡　1226　備急灸法　宋・聞人耆年.jpg</v>
      </c>
    </row>
    <row r="4044" spans="1:2" x14ac:dyDescent="0.15">
      <c r="A4044" t="s">
        <v>4017</v>
      </c>
      <c r="B4044" t="str">
        <f>HYPERLINK("ち/ちょう　疔　庁　　面の内　手足にせつの出（きる）もの　1780　鍼灸極秘伝　木村太沖.jpg")</f>
        <v>ち/ちょう　疔　庁　　面の内　手足にせつの出（きる）もの　1780　鍼灸極秘伝　木村太沖.jpg</v>
      </c>
    </row>
    <row r="4045" spans="1:2" x14ac:dyDescent="0.15">
      <c r="A4045" t="s">
        <v>4018</v>
      </c>
      <c r="B4045" t="str">
        <f>HYPERLINK("ち/ちょう　疔　諸悪瘡　1807　続名家灸選　平井庸信_ページ_1.jpg")</f>
        <v>ち/ちょう　疔　諸悪瘡　1807　続名家灸選　平井庸信_ページ_1.jpg</v>
      </c>
    </row>
    <row r="4046" spans="1:2" x14ac:dyDescent="0.15">
      <c r="A4046" t="s">
        <v>4019</v>
      </c>
      <c r="B4046" t="str">
        <f>HYPERLINK("ち/ちょう　疔　諸悪瘡　1807　続名家灸選　平井庸信_ページ_2.jpg")</f>
        <v>ち/ちょう　疔　諸悪瘡　1807　続名家灸選　平井庸信_ページ_2.jpg</v>
      </c>
    </row>
    <row r="4047" spans="1:2" x14ac:dyDescent="0.15">
      <c r="A4047" t="s">
        <v>4020</v>
      </c>
      <c r="B4047" t="str">
        <f>HYPERLINK("ち/ちょう　疔毒頭面　成書年未詳　灸穴集　著者未詳.jpg")</f>
        <v>ち/ちょう　疔毒頭面　成書年未詳　灸穴集　著者未詳.jpg</v>
      </c>
    </row>
    <row r="4048" spans="1:2" x14ac:dyDescent="0.15">
      <c r="A4048" t="s">
        <v>4021</v>
      </c>
      <c r="B4048" t="str">
        <f>HYPERLINK("ち/ちょう　疔瘡　1220　鍼灸資生経　王執中_ページ_1.jpg")</f>
        <v>ち/ちょう　疔瘡　1220　鍼灸資生経　王執中_ページ_1.jpg</v>
      </c>
    </row>
    <row r="4049" spans="1:2" x14ac:dyDescent="0.15">
      <c r="A4049" t="s">
        <v>4022</v>
      </c>
      <c r="B4049" t="str">
        <f>HYPERLINK("ち/ちょう　疔瘡　1220　鍼灸資生経　王執中_ページ_2.jpg")</f>
        <v>ち/ちょう　疔瘡　1220　鍼灸資生経　王執中_ページ_2.jpg</v>
      </c>
    </row>
    <row r="4050" spans="1:2" x14ac:dyDescent="0.15">
      <c r="A4050" t="s">
        <v>4023</v>
      </c>
      <c r="B4050" t="str">
        <f>HYPERLINK("ち/ちょう　疔瘡　1686　鍼灸要法指南　岩田利斎_ページ_1.jpg")</f>
        <v>ち/ちょう　疔瘡　1686　鍼灸要法指南　岩田利斎_ページ_1.jpg</v>
      </c>
    </row>
    <row r="4051" spans="1:2" x14ac:dyDescent="0.15">
      <c r="A4051" t="s">
        <v>4024</v>
      </c>
      <c r="B4051" t="str">
        <f>HYPERLINK("ち/ちょう　疔瘡　1686　鍼灸要法指南　岩田利斎_ページ_2.jpg")</f>
        <v>ち/ちょう　疔瘡　1686　鍼灸要法指南　岩田利斎_ページ_2.jpg</v>
      </c>
    </row>
    <row r="4052" spans="1:2" x14ac:dyDescent="0.15">
      <c r="A4052" t="s">
        <v>4025</v>
      </c>
      <c r="B4052" t="str">
        <f>HYPERLINK("ち/ちょう　疔瘡法　1807　続名家灸選　平井庸信.jpg")</f>
        <v>ち/ちょう　疔瘡法　1807　続名家灸選　平井庸信.jpg</v>
      </c>
    </row>
    <row r="4053" spans="1:2" x14ac:dyDescent="0.15">
      <c r="A4053" t="s">
        <v>4026</v>
      </c>
      <c r="B4053" t="str">
        <f>HYPERLINK("ち/ちょう　疔腫　1813　名家灸選三編　平井庸信.jpg")</f>
        <v>ち/ちょう　疔腫　1813　名家灸選三編　平井庸信.jpg</v>
      </c>
    </row>
    <row r="4054" spans="1:2" x14ac:dyDescent="0.15">
      <c r="A4054" t="s">
        <v>4027</v>
      </c>
      <c r="B4054" t="str">
        <f>HYPERLINK("ち/ちょう　癰　疔　諸悪瘡　1807　続名家灸選　平井庸信_ページ_1.jpg")</f>
        <v>ち/ちょう　癰　疔　諸悪瘡　1807　続名家灸選　平井庸信_ページ_1.jpg</v>
      </c>
    </row>
    <row r="4055" spans="1:2" x14ac:dyDescent="0.15">
      <c r="A4055" t="s">
        <v>4028</v>
      </c>
      <c r="B4055" t="str">
        <f>HYPERLINK("ち/ちょう　癰　疔　諸悪瘡　1807　続名家灸選　平井庸信_ページ_2.jpg")</f>
        <v>ち/ちょう　癰　疔　諸悪瘡　1807　続名家灸選　平井庸信_ページ_2.jpg</v>
      </c>
    </row>
    <row r="4056" spans="1:2" x14ac:dyDescent="0.15">
      <c r="A4056" t="s">
        <v>4029</v>
      </c>
      <c r="B4056" t="str">
        <f>HYPERLINK("ち/ちょう　積聚　ちょうか　1807　続名家灸選　平井庸信_ページ_1.jpg")</f>
        <v>ち/ちょう　積聚　ちょうか　1807　続名家灸選　平井庸信_ページ_1.jpg</v>
      </c>
    </row>
    <row r="4057" spans="1:2" x14ac:dyDescent="0.15">
      <c r="A4057" t="s">
        <v>4030</v>
      </c>
      <c r="B4057" t="str">
        <f>HYPERLINK("ち/ちょう　積聚　ちょうか　1807　続名家灸選　平井庸信_ページ_2.jpg")</f>
        <v>ち/ちょう　積聚　ちょうか　1807　続名家灸選　平井庸信_ページ_2.jpg</v>
      </c>
    </row>
    <row r="4058" spans="1:2" x14ac:dyDescent="0.15">
      <c r="A4058" t="s">
        <v>4031</v>
      </c>
      <c r="B4058" t="str">
        <f>HYPERLINK("ち/ちょう　積聚　ちょうか　1807　続名家灸選　平井庸信_ページ_3.jpg")</f>
        <v>ち/ちょう　積聚　ちょうか　1807　続名家灸選　平井庸信_ページ_3.jpg</v>
      </c>
    </row>
    <row r="4059" spans="1:2" x14ac:dyDescent="0.15">
      <c r="A4059" t="s">
        <v>4032</v>
      </c>
      <c r="B4059" t="str">
        <f>HYPERLINK("ち/ちょう　積聚　ちょうか　1807　続名家灸選　平井庸信_ページ_4.jpg")</f>
        <v>ち/ちょう　積聚　ちょうか　1807　続名家灸選　平井庸信_ページ_4.jpg</v>
      </c>
    </row>
    <row r="4060" spans="1:2" x14ac:dyDescent="0.15">
      <c r="A4060" t="s">
        <v>4033</v>
      </c>
      <c r="B4060" t="str">
        <f>HYPERLINK("ち/ちょう　脹　0300　●五臓六ぷ脹　第三　鍼灸甲乙経　皇甫謐_ページ_1.jpg")</f>
        <v>ち/ちょう　脹　0300　●五臓六ぷ脹　第三　鍼灸甲乙経　皇甫謐_ページ_1.jpg</v>
      </c>
    </row>
    <row r="4061" spans="1:2" x14ac:dyDescent="0.15">
      <c r="A4061" t="s">
        <v>4034</v>
      </c>
      <c r="B4061" t="str">
        <f>HYPERLINK("ち/ちょう　脹　0300　●五臓六ぷ脹　第三　鍼灸甲乙経　皇甫謐_ページ_2.jpg")</f>
        <v>ち/ちょう　脹　0300　●五臓六ぷ脹　第三　鍼灸甲乙経　皇甫謐_ページ_2.jpg</v>
      </c>
    </row>
    <row r="4062" spans="1:2" x14ac:dyDescent="0.15">
      <c r="A4062" t="s">
        <v>4035</v>
      </c>
      <c r="B4062" t="str">
        <f>HYPERLINK("ち/ちょう　脹　0300　●五臓六ぷ脹　第三　鍼灸甲乙経　皇甫謐_ページ_3.jpg")</f>
        <v>ち/ちょう　脹　0300　●五臓六ぷ脹　第三　鍼灸甲乙経　皇甫謐_ページ_3.jpg</v>
      </c>
    </row>
    <row r="4063" spans="1:2" x14ac:dyDescent="0.15">
      <c r="A4063" t="s">
        <v>4036</v>
      </c>
      <c r="B4063" t="str">
        <f>HYPERLINK("ち/ちょう　脹満　1563　鍼灸集要　曲直瀬道三.jpg")</f>
        <v>ち/ちょう　脹満　1563　鍼灸集要　曲直瀬道三.jpg</v>
      </c>
    </row>
    <row r="4064" spans="1:2" x14ac:dyDescent="0.15">
      <c r="A4064" t="s">
        <v>4037</v>
      </c>
      <c r="B4064" t="str">
        <f>HYPERLINK("ち/ちょう　脹満　1574　兪穴参伍的法　秦宗巴.jpg")</f>
        <v>ち/ちょう　脹満　1574　兪穴参伍的法　秦宗巴.jpg</v>
      </c>
    </row>
    <row r="4065" spans="1:2" x14ac:dyDescent="0.15">
      <c r="A4065" t="s">
        <v>4038</v>
      </c>
      <c r="B4065" t="str">
        <f>HYPERLINK("ち/ちょう　脹満　1669　鍼灸枢要　山本玄通_ページ_1.jpg")</f>
        <v>ち/ちょう　脹満　1669　鍼灸枢要　山本玄通_ページ_1.jpg</v>
      </c>
    </row>
    <row r="4066" spans="1:2" x14ac:dyDescent="0.15">
      <c r="A4066" t="s">
        <v>4039</v>
      </c>
      <c r="B4066" t="str">
        <f>HYPERLINK("ち/ちょう　脹満　1669　鍼灸枢要　山本玄通_ページ_2.jpg")</f>
        <v>ち/ちょう　脹満　1669　鍼灸枢要　山本玄通_ページ_2.jpg</v>
      </c>
    </row>
    <row r="4067" spans="1:2" x14ac:dyDescent="0.15">
      <c r="A4067" t="s">
        <v>4040</v>
      </c>
      <c r="B4067" t="str">
        <f>HYPERLINK("ち/ちょう　脹満　1669　鍼灸枢要　山本玄通_ページ_3.jpg")</f>
        <v>ち/ちょう　脹満　1669　鍼灸枢要　山本玄通_ページ_3.jpg</v>
      </c>
    </row>
    <row r="4068" spans="1:2" x14ac:dyDescent="0.15">
      <c r="A4068" t="s">
        <v>4041</v>
      </c>
      <c r="B4068" t="str">
        <f>HYPERLINK("ち/ちょう　脹満　1669　鍼灸枢要　山本玄通_ページ_4.jpg")</f>
        <v>ち/ちょう　脹満　1669　鍼灸枢要　山本玄通_ページ_4.jpg</v>
      </c>
    </row>
    <row r="4069" spans="1:2" x14ac:dyDescent="0.15">
      <c r="A4069" t="s">
        <v>4042</v>
      </c>
      <c r="B4069" t="str">
        <f>HYPERLINK("ち/ちょう　脹満　1669　鍼灸枢要　山本玄通_ページ_5.jpg")</f>
        <v>ち/ちょう　脹満　1669　鍼灸枢要　山本玄通_ページ_5.jpg</v>
      </c>
    </row>
    <row r="4070" spans="1:2" x14ac:dyDescent="0.15">
      <c r="A4070" t="s">
        <v>4043</v>
      </c>
      <c r="B4070" t="str">
        <f>HYPERLINK("ち/ちょう　脹満　1669　鍼灸枢要　山本玄通_ページ_6.jpg")</f>
        <v>ち/ちょう　脹満　1669　鍼灸枢要　山本玄通_ページ_6.jpg</v>
      </c>
    </row>
    <row r="4071" spans="1:2" x14ac:dyDescent="0.15">
      <c r="A4071" t="s">
        <v>4044</v>
      </c>
      <c r="B4071" t="str">
        <f>HYPERLINK("ち/ちょう　脹満　1669　鍼灸枢要　山本玄通_ページ_7.jpg")</f>
        <v>ち/ちょう　脹満　1669　鍼灸枢要　山本玄通_ページ_7.jpg</v>
      </c>
    </row>
    <row r="4072" spans="1:2" x14ac:dyDescent="0.15">
      <c r="A4072" t="s">
        <v>4045</v>
      </c>
      <c r="B4072" t="str">
        <f>HYPERLINK("ち/ちょう　脹満　1669　鍼灸枢要　山本玄通_ページ_8.jpg")</f>
        <v>ち/ちょう　脹満　1669　鍼灸枢要　山本玄通_ページ_8.jpg</v>
      </c>
    </row>
    <row r="4073" spans="1:2" x14ac:dyDescent="0.15">
      <c r="A4073" t="s">
        <v>4046</v>
      </c>
      <c r="B4073" t="str">
        <f>HYPERLINK("ち/ちょう　脹満　1679　鍼法奇貨　渡辺東伯_ページ_1.jpg")</f>
        <v>ち/ちょう　脹満　1679　鍼法奇貨　渡辺東伯_ページ_1.jpg</v>
      </c>
    </row>
    <row r="4074" spans="1:2" x14ac:dyDescent="0.15">
      <c r="A4074" t="s">
        <v>4047</v>
      </c>
      <c r="B4074" t="str">
        <f>HYPERLINK("ち/ちょう　脹満　1679　鍼法奇貨　渡辺東伯_ページ_2.jpg")</f>
        <v>ち/ちょう　脹満　1679　鍼法奇貨　渡辺東伯_ページ_2.jpg</v>
      </c>
    </row>
    <row r="4075" spans="1:2" x14ac:dyDescent="0.15">
      <c r="A4075" t="s">
        <v>4048</v>
      </c>
      <c r="B4075" t="str">
        <f>HYPERLINK("ち/ちょう　脹満　1679　鍼法奇貨　渡辺東伯_ページ_3.jpg")</f>
        <v>ち/ちょう　脹満　1679　鍼法奇貨　渡辺東伯_ページ_3.jpg</v>
      </c>
    </row>
    <row r="4076" spans="1:2" x14ac:dyDescent="0.15">
      <c r="A4076" t="s">
        <v>4049</v>
      </c>
      <c r="B4076" t="str">
        <f>HYPERLINK("ち/ちょう　脹満　1680　鍼灸抜萃　著者未詳.jpg")</f>
        <v>ち/ちょう　脹満　1680　鍼灸抜萃　著者未詳.jpg</v>
      </c>
    </row>
    <row r="4077" spans="1:2" x14ac:dyDescent="0.15">
      <c r="A4077" t="s">
        <v>4050</v>
      </c>
      <c r="B4077" t="str">
        <f>HYPERLINK("ち/ちょう　脹満　1693　鍼灸要歌集　安井昌玄_ページ_1.jpg")</f>
        <v>ち/ちょう　脹満　1693　鍼灸要歌集　安井昌玄_ページ_1.jpg</v>
      </c>
    </row>
    <row r="4078" spans="1:2" x14ac:dyDescent="0.15">
      <c r="A4078" t="s">
        <v>4051</v>
      </c>
      <c r="B4078" t="str">
        <f>HYPERLINK("ち/ちょう　脹満　1693　鍼灸要歌集　安井昌玄_ページ_2.jpg")</f>
        <v>ち/ちょう　脹満　1693　鍼灸要歌集　安井昌玄_ページ_2.jpg</v>
      </c>
    </row>
    <row r="4079" spans="1:2" x14ac:dyDescent="0.15">
      <c r="A4079" t="s">
        <v>4052</v>
      </c>
      <c r="B4079" t="str">
        <f>HYPERLINK("ち/ちょう　脹満　1694　選鍼三要集　杉山和一.jpg")</f>
        <v>ち/ちょう　脹満　1694　選鍼三要集　杉山和一.jpg</v>
      </c>
    </row>
    <row r="4080" spans="1:2" x14ac:dyDescent="0.15">
      <c r="A4080" t="s">
        <v>4053</v>
      </c>
      <c r="B4080" t="str">
        <f>HYPERLINK("ち/ちょう　脹満　1694　鍼灸そかい集　高津敬節.jpg")</f>
        <v>ち/ちょう　脹満　1694　鍼灸そかい集　高津敬節.jpg</v>
      </c>
    </row>
    <row r="4081" spans="1:2" x14ac:dyDescent="0.15">
      <c r="A4081" t="s">
        <v>4054</v>
      </c>
      <c r="B4081" t="str">
        <f>HYPERLINK("ち/ちょう　脹満　1696　広益鍼灸抜萃　著者未詳.jpg")</f>
        <v>ち/ちょう　脹満　1696　広益鍼灸抜萃　著者未詳.jpg</v>
      </c>
    </row>
    <row r="4082" spans="1:2" x14ac:dyDescent="0.15">
      <c r="A4082" t="s">
        <v>4055</v>
      </c>
      <c r="B4082" t="str">
        <f>HYPERLINK("ち/ちょう　脹満　1698　鍼灸抜粋大成　岡本一抱.jpg")</f>
        <v>ち/ちょう　脹満　1698　鍼灸抜粋大成　岡本一抱.jpg</v>
      </c>
    </row>
    <row r="4083" spans="1:2" x14ac:dyDescent="0.15">
      <c r="A4083" t="s">
        <v>4056</v>
      </c>
      <c r="B4083" t="str">
        <f>HYPERLINK("ち/ちょう　脹満　1773　鍼灸手引草　大簡室主人_ページ_1.jpg")</f>
        <v>ち/ちょう　脹満　1773　鍼灸手引草　大簡室主人_ページ_1.jpg</v>
      </c>
    </row>
    <row r="4084" spans="1:2" x14ac:dyDescent="0.15">
      <c r="A4084" t="s">
        <v>4057</v>
      </c>
      <c r="B4084" t="str">
        <f>HYPERLINK("ち/ちょう　脹満　1773　鍼灸手引草　大簡室主人_ページ_2.jpg")</f>
        <v>ち/ちょう　脹満　1773　鍼灸手引草　大簡室主人_ページ_2.jpg</v>
      </c>
    </row>
    <row r="4085" spans="1:2" x14ac:dyDescent="0.15">
      <c r="A4085" t="s">
        <v>4058</v>
      </c>
      <c r="B4085" t="str">
        <f>HYPERLINK("ち/ちょう　脹満　1785　鍼書　本城義軒.jpg")</f>
        <v>ち/ちょう　脹満　1785　鍼書　本城義軒.jpg</v>
      </c>
    </row>
    <row r="4086" spans="1:2" x14ac:dyDescent="0.15">
      <c r="A4086" t="s">
        <v>4059</v>
      </c>
      <c r="B4086" t="str">
        <f>HYPERLINK("ち/ちょう　脹満　1794　杉山流鍼術　島浦和田一_ページ_1.jpg")</f>
        <v>ち/ちょう　脹満　1794　杉山流鍼術　島浦和田一_ページ_1.jpg</v>
      </c>
    </row>
    <row r="4087" spans="1:2" x14ac:dyDescent="0.15">
      <c r="A4087" t="s">
        <v>4060</v>
      </c>
      <c r="B4087" t="str">
        <f>HYPERLINK("ち/ちょう　脹満　1794　杉山流鍼術　島浦和田一_ページ_2.jpg")</f>
        <v>ち/ちょう　脹満　1794　杉山流鍼術　島浦和田一_ページ_2.jpg</v>
      </c>
    </row>
    <row r="4088" spans="1:2" x14ac:dyDescent="0.15">
      <c r="A4088" t="s">
        <v>4061</v>
      </c>
      <c r="B4088" t="str">
        <f>HYPERLINK("ち/ちょう　脹満　1800　岡田流鍼術書　岡田見龍_ページ_1.jpg")</f>
        <v>ち/ちょう　脹満　1800　岡田流鍼術書　岡田見龍_ページ_1.jpg</v>
      </c>
    </row>
    <row r="4089" spans="1:2" x14ac:dyDescent="0.15">
      <c r="A4089" t="s">
        <v>4062</v>
      </c>
      <c r="B4089" t="str">
        <f>HYPERLINK("ち/ちょう　脹満　1800　岡田流鍼術書　岡田見龍_ページ_2.jpg")</f>
        <v>ち/ちょう　脹満　1800　岡田流鍼術書　岡田見龍_ページ_2.jpg</v>
      </c>
    </row>
    <row r="4090" spans="1:2" x14ac:dyDescent="0.15">
      <c r="A4090" t="s">
        <v>4063</v>
      </c>
      <c r="B4090" t="str">
        <f>HYPERLINK("ち/ちょう　脹満　1800　鍼灸備要　小坂元祐_ページ_1.jpg")</f>
        <v>ち/ちょう　脹満　1800　鍼灸備要　小坂元祐_ページ_1.jpg</v>
      </c>
    </row>
    <row r="4091" spans="1:2" x14ac:dyDescent="0.15">
      <c r="A4091" t="s">
        <v>4064</v>
      </c>
      <c r="B4091" t="str">
        <f>HYPERLINK("ち/ちょう　脹満　1800　鍼灸備要　小坂元祐_ページ_2.jpg")</f>
        <v>ち/ちょう　脹満　1800　鍼灸備要　小坂元祐_ページ_2.jpg</v>
      </c>
    </row>
    <row r="4092" spans="1:2" x14ac:dyDescent="0.15">
      <c r="A4092" t="s">
        <v>4065</v>
      </c>
      <c r="B4092" t="str">
        <f>HYPERLINK("ち/ちょう　脹満　1800　鍼灸備要　小坂元祐_ページ_3.jpg")</f>
        <v>ち/ちょう　脹満　1800　鍼灸備要　小坂元祐_ページ_3.jpg</v>
      </c>
    </row>
    <row r="4093" spans="1:2" x14ac:dyDescent="0.15">
      <c r="A4093" t="s">
        <v>4066</v>
      </c>
      <c r="B4093" t="str">
        <f>HYPERLINK("ち/ちょう　脹満　かめばら　1718　鍼灸重宝記　本郷正豊.jpg")</f>
        <v>ち/ちょう　脹満　かめばら　1718　鍼灸重宝記　本郷正豊.jpg</v>
      </c>
    </row>
    <row r="4094" spans="1:2" x14ac:dyDescent="0.15">
      <c r="A4094" t="s">
        <v>4067</v>
      </c>
      <c r="B4094" t="str">
        <f>HYPERLINK("ち/ちょう　脹満　成書年未詳　灸穴集　著者未詳_ページ_1.jpg")</f>
        <v>ち/ちょう　脹満　成書年未詳　灸穴集　著者未詳_ページ_1.jpg</v>
      </c>
    </row>
    <row r="4095" spans="1:2" x14ac:dyDescent="0.15">
      <c r="A4095" t="s">
        <v>4068</v>
      </c>
      <c r="B4095" t="str">
        <f>HYPERLINK("ち/ちょう　脹満　成書年未詳　灸穴集　著者未詳_ページ_2.jpg")</f>
        <v>ち/ちょう　脹満　成書年未詳　灸穴集　著者未詳_ページ_2.jpg</v>
      </c>
    </row>
    <row r="4096" spans="1:2" x14ac:dyDescent="0.15">
      <c r="A4096" t="s">
        <v>4069</v>
      </c>
      <c r="B4096" t="str">
        <f>HYPERLINK("ち/ちょう　脹満　成書年未詳　灸穴集　著者未詳_ページ_3.jpg")</f>
        <v>ち/ちょう　脹満　成書年未詳　灸穴集　著者未詳_ページ_3.jpg</v>
      </c>
    </row>
    <row r="4097" spans="1:2" x14ac:dyDescent="0.15">
      <c r="A4097" t="s">
        <v>4070</v>
      </c>
      <c r="B4097" t="str">
        <f>HYPERLINK("ち/ちょう　脹満　成書年未詳　灸穴集　著者未詳_ページ_4.jpg")</f>
        <v>ち/ちょう　脹満　成書年未詳　灸穴集　著者未詳_ページ_4.jpg</v>
      </c>
    </row>
    <row r="4098" spans="1:2" x14ac:dyDescent="0.15">
      <c r="A4098" t="s">
        <v>4071</v>
      </c>
      <c r="B4098" t="str">
        <f>HYPERLINK("ち/ちょう　脹満　成書年未詳　灸穴集　著者未詳_ページ_5.jpg")</f>
        <v>ち/ちょう　脹満　成書年未詳　灸穴集　著者未詳_ページ_5.jpg</v>
      </c>
    </row>
    <row r="4099" spans="1:2" x14ac:dyDescent="0.15">
      <c r="A4099" t="s">
        <v>4072</v>
      </c>
      <c r="B4099" t="str">
        <f>HYPERLINK("ち/ちょう　脹満　成書年未詳　経穴図解　著者未詳_ページ_1.jpg")</f>
        <v>ち/ちょう　脹満　成書年未詳　経穴図解　著者未詳_ページ_1.jpg</v>
      </c>
    </row>
    <row r="4100" spans="1:2" x14ac:dyDescent="0.15">
      <c r="A4100" t="s">
        <v>4073</v>
      </c>
      <c r="B4100" t="str">
        <f>HYPERLINK("ち/ちょう　脹満　成書年未詳　経穴図解　著者未詳_ページ_2.jpg")</f>
        <v>ち/ちょう　脹満　成書年未詳　経穴図解　著者未詳_ページ_2.jpg</v>
      </c>
    </row>
    <row r="4101" spans="1:2" x14ac:dyDescent="0.15">
      <c r="A4101" t="s">
        <v>4074</v>
      </c>
      <c r="B4101" t="str">
        <f>HYPERLINK("ち/ちょう　脹満　腹の脹る病の事　1694　療治之大概集　杉山和一.jpg")</f>
        <v>ち/ちょう　脹満　腹の脹る病の事　1694　療治之大概集　杉山和一.jpg</v>
      </c>
    </row>
    <row r="4102" spans="1:2" x14ac:dyDescent="0.15">
      <c r="A4102" t="s">
        <v>4075</v>
      </c>
      <c r="B4102" t="str">
        <f>HYPERLINK("ち/ちょう　脹満病　0650　千金方　孫思ばく_ページ_1.jpg")</f>
        <v>ち/ちょう　脹満病　0650　千金方　孫思ばく_ページ_1.jpg</v>
      </c>
    </row>
    <row r="4103" spans="1:2" x14ac:dyDescent="0.15">
      <c r="A4103" t="s">
        <v>4076</v>
      </c>
      <c r="B4103" t="str">
        <f>HYPERLINK("ち/ちょう　脹満病　0650　千金方　孫思ばく_ページ_2.jpg")</f>
        <v>ち/ちょう　脹満病　0650　千金方　孫思ばく_ページ_2.jpg</v>
      </c>
    </row>
    <row r="4104" spans="1:2" x14ac:dyDescent="0.15">
      <c r="A4104" t="s">
        <v>4077</v>
      </c>
      <c r="B4104" t="str">
        <f>HYPERLINK("ち/ちょう　脹満病　0650　千金方　孫思ばく_ページ_3.jpg")</f>
        <v>ち/ちょう　脹満病　0650　千金方　孫思ばく_ページ_3.jpg</v>
      </c>
    </row>
    <row r="4105" spans="1:2" x14ac:dyDescent="0.15">
      <c r="A4105" t="s">
        <v>4078</v>
      </c>
      <c r="B4105" t="str">
        <f>HYPERLINK("ち/ちょう　脹満（ちやうまん）　ちやうまん　腹水　1887（明治20）　鍼灸備要　青山道醇.jpg")</f>
        <v>ち/ちょう　脹満（ちやうまん）　ちやうまん　腹水　1887（明治20）　鍼灸備要　青山道醇.jpg</v>
      </c>
    </row>
    <row r="4106" spans="1:2" x14ac:dyDescent="0.15">
      <c r="A4106" t="s">
        <v>4079</v>
      </c>
      <c r="B4106" t="str">
        <f>HYPERLINK("ち/ちょう　腸へき　1220　鍼灸資生経　王執中_ページ_1.jpg")</f>
        <v>ち/ちょう　腸へき　1220　鍼灸資生経　王執中_ページ_1.jpg</v>
      </c>
    </row>
    <row r="4107" spans="1:2" x14ac:dyDescent="0.15">
      <c r="A4107" t="s">
        <v>4080</v>
      </c>
      <c r="B4107" t="str">
        <f>HYPERLINK("ち/ちょう　腸へき　1220　鍼灸資生経　王執中_ページ_2.jpg")</f>
        <v>ち/ちょう　腸へき　1220　鍼灸資生経　王執中_ページ_2.jpg</v>
      </c>
    </row>
    <row r="4108" spans="1:2" x14ac:dyDescent="0.15">
      <c r="A4108" t="s">
        <v>4081</v>
      </c>
      <c r="B4108" t="str">
        <f>HYPERLINK("ち/ちょう　腸痔大便部　1425　神応経　明・陳会撰・劉瑾重校_ページ_1.jpg")</f>
        <v>ち/ちょう　腸痔大便部　1425　神応経　明・陳会撰・劉瑾重校_ページ_1.jpg</v>
      </c>
    </row>
    <row r="4109" spans="1:2" x14ac:dyDescent="0.15">
      <c r="A4109" t="s">
        <v>4082</v>
      </c>
      <c r="B4109" t="str">
        <f>HYPERLINK("ち/ちょう　腸痔大便部　1425　神応経　明・陳会撰・劉瑾重校_ページ_2.jpg")</f>
        <v>ち/ちょう　腸痔大便部　1425　神応経　明・陳会撰・劉瑾重校_ページ_2.jpg</v>
      </c>
    </row>
    <row r="4110" spans="1:2" x14ac:dyDescent="0.15">
      <c r="A4110" t="s">
        <v>4083</v>
      </c>
      <c r="B4110" t="str">
        <f>HYPERLINK("ち/ちょう　腸痛（余見腸へき）　1220　鍼灸資生経　王執中.jpg")</f>
        <v>ち/ちょう　腸痛（余見腸へき）　1220　鍼灸資生経　王執中.jpg</v>
      </c>
    </row>
    <row r="4111" spans="1:2" x14ac:dyDescent="0.15">
      <c r="A4111" t="s">
        <v>4084</v>
      </c>
      <c r="B4111" t="str">
        <f>HYPERLINK("ち/ちょう　腸癰　1226　備急灸法　宋・聞人耆年_ページ_1.jpg")</f>
        <v>ち/ちょう　腸癰　1226　備急灸法　宋・聞人耆年_ページ_1.jpg</v>
      </c>
    </row>
    <row r="4112" spans="1:2" x14ac:dyDescent="0.15">
      <c r="A4112" t="s">
        <v>4085</v>
      </c>
      <c r="B4112" t="str">
        <f>HYPERLINK("ち/ちょう　腸癰　1226　備急灸法　宋・聞人耆年_ページ_2.jpg")</f>
        <v>ち/ちょう　腸癰　1226　備急灸法　宋・聞人耆年_ページ_2.jpg</v>
      </c>
    </row>
    <row r="4113" spans="1:2" x14ac:dyDescent="0.15">
      <c r="A4113" t="s">
        <v>4086</v>
      </c>
      <c r="B4113" t="str">
        <f>HYPERLINK("ち/ちょう　腸癰　成書年未詳　灸穴集　著者未詳.jpg")</f>
        <v>ち/ちょう　腸癰　成書年未詳　灸穴集　著者未詳.jpg</v>
      </c>
    </row>
    <row r="4114" spans="1:2" x14ac:dyDescent="0.15">
      <c r="A4114" t="s">
        <v>4087</v>
      </c>
      <c r="B4114" t="str">
        <f>HYPERLINK("ち/ちょう　腸癰　成書年未詳　灸穴集　著者未詳_ページ_1.jpg")</f>
        <v>ち/ちょう　腸癰　成書年未詳　灸穴集　著者未詳_ページ_1.jpg</v>
      </c>
    </row>
    <row r="4115" spans="1:2" x14ac:dyDescent="0.15">
      <c r="A4115" t="s">
        <v>4088</v>
      </c>
      <c r="B4115" t="str">
        <f>HYPERLINK("ち/ちょう　腸癰　成書年未詳　灸穴集　著者未詳_ページ_2.jpg")</f>
        <v>ち/ちょう　腸癰　成書年未詳　灸穴集　著者未詳_ページ_2.jpg</v>
      </c>
    </row>
    <row r="4116" spans="1:2" x14ac:dyDescent="0.15">
      <c r="A4116" t="s">
        <v>4089</v>
      </c>
      <c r="B4116" t="str">
        <f>HYPERLINK("ち/ちょう　腸辟泄痢　1574　兪穴参伍的法　秦宗巴_ページ_1.jpg")</f>
        <v>ち/ちょう　腸辟泄痢　1574　兪穴参伍的法　秦宗巴_ページ_1.jpg</v>
      </c>
    </row>
    <row r="4117" spans="1:2" x14ac:dyDescent="0.15">
      <c r="A4117" t="s">
        <v>4090</v>
      </c>
      <c r="B4117" t="str">
        <f>HYPERLINK("ち/ちょう　腸辟泄痢　1574　兪穴参伍的法　秦宗巴_ページ_2.jpg")</f>
        <v>ち/ちょう　腸辟泄痢　1574　兪穴参伍的法　秦宗巴_ページ_2.jpg</v>
      </c>
    </row>
    <row r="4118" spans="1:2" x14ac:dyDescent="0.15">
      <c r="A4118" t="s">
        <v>4091</v>
      </c>
      <c r="B4118" t="str">
        <f>HYPERLINK("ち/ちょう　腸風　1220　鍼灸資生経　王執中.jpg")</f>
        <v>ち/ちょう　腸風　1220　鍼灸資生経　王執中.jpg</v>
      </c>
    </row>
    <row r="4119" spans="1:2" x14ac:dyDescent="0.15">
      <c r="A4119" t="s">
        <v>4092</v>
      </c>
      <c r="B4119" t="str">
        <f>HYPERLINK("ち/ちょう　腸風諸痔　1703　鍼灸阿是要穴　岡本一抱.jpg")</f>
        <v>ち/ちょう　腸風諸痔　1703　鍼灸阿是要穴　岡本一抱.jpg</v>
      </c>
    </row>
    <row r="4120" spans="1:2" x14ac:dyDescent="0.15">
      <c r="A4120" t="s">
        <v>4093</v>
      </c>
      <c r="B4120" t="str">
        <f>HYPERLINK("ち/ちょう　腸鳴（腹鳴）　1220　鍼灸資生経　王執中_ページ_1.jpg")</f>
        <v>ち/ちょう　腸鳴（腹鳴）　1220　鍼灸資生経　王執中_ページ_1.jpg</v>
      </c>
    </row>
    <row r="4121" spans="1:2" x14ac:dyDescent="0.15">
      <c r="A4121" t="s">
        <v>4094</v>
      </c>
      <c r="B4121" t="str">
        <f>HYPERLINK("ち/ちょう　腸鳴（腹鳴）　1220　鍼灸資生経　王執中_ページ_2.jpg")</f>
        <v>ち/ちょう　腸鳴（腹鳴）　1220　鍼灸資生経　王執中_ページ_2.jpg</v>
      </c>
    </row>
    <row r="4122" spans="1:2" x14ac:dyDescent="0.15">
      <c r="A4122" t="s">
        <v>4095</v>
      </c>
      <c r="B4122" t="str">
        <f>HYPERLINK("ち/ちょう　調経　附　帯下　1694　鍼灸そかい集　高津敬節_ページ_1.jpg")</f>
        <v>ち/ちょう　調経　附　帯下　1694　鍼灸そかい集　高津敬節_ページ_1.jpg</v>
      </c>
    </row>
    <row r="4123" spans="1:2" x14ac:dyDescent="0.15">
      <c r="A4123" t="s">
        <v>4096</v>
      </c>
      <c r="B4123" t="str">
        <f>HYPERLINK("ち/ちょう　調経　附　帯下　1694　鍼灸そかい集　高津敬節_ページ_2.jpg")</f>
        <v>ち/ちょう　調経　附　帯下　1694　鍼灸そかい集　高津敬節_ページ_2.jpg</v>
      </c>
    </row>
    <row r="4124" spans="1:2" x14ac:dyDescent="0.15">
      <c r="A4124" t="s">
        <v>4097</v>
      </c>
      <c r="B4124" t="str">
        <f>HYPERLINK("ち/ちょう　頂腫痛　1220　鍼灸資生経　王執中.jpg")</f>
        <v>ち/ちょう　頂腫痛　1220　鍼灸資生経　王執中.jpg</v>
      </c>
    </row>
    <row r="4125" spans="1:2" x14ac:dyDescent="0.15">
      <c r="A4125" t="s">
        <v>4098</v>
      </c>
      <c r="B4125" t="str">
        <f>HYPERLINK("ち/ちょうか（余見疝か）　1220　鍼灸資生経　王執中_ページ_1.jpg")</f>
        <v>ち/ちょうか（余見疝か）　1220　鍼灸資生経　王執中_ページ_1.jpg</v>
      </c>
    </row>
    <row r="4126" spans="1:2" x14ac:dyDescent="0.15">
      <c r="A4126" t="s">
        <v>4099</v>
      </c>
      <c r="B4126" t="str">
        <f>HYPERLINK("ち/ちょうか（余見疝か）　1220　鍼灸資生経　王執中_ページ_2.jpg")</f>
        <v>ち/ちょうか（余見疝か）　1220　鍼灸資生経　王執中_ページ_2.jpg</v>
      </c>
    </row>
    <row r="4127" spans="1:2" x14ac:dyDescent="0.15">
      <c r="A4127" t="s">
        <v>4100</v>
      </c>
      <c r="B4127" t="str">
        <f>HYPERLINK("ち/ちょく　直視　めをみつめる　1765　鍼法弁惑　藤井秀孟.jpg")</f>
        <v>ち/ちょく　直視　めをみつめる　1765　鍼法弁惑　藤井秀孟.jpg</v>
      </c>
    </row>
    <row r="4128" spans="1:2" x14ac:dyDescent="0.15">
      <c r="A4128" t="s">
        <v>4101</v>
      </c>
      <c r="B4128" t="str">
        <f>HYPERLINK("ち/ちょく　直視噤口　1765　鍼法弁惑　藤井秀孟.jpg")</f>
        <v>ち/ちょく　直視噤口　1765　鍼法弁惑　藤井秀孟.jpg</v>
      </c>
    </row>
    <row r="4129" spans="1:2" x14ac:dyDescent="0.15">
      <c r="A4129" t="s">
        <v>4102</v>
      </c>
      <c r="B4129" t="str">
        <f>HYPERLINK("つ/つい　堕墜　1693　鍼灸要歌集　安井昌玄.jpg")</f>
        <v>つ/つい　堕墜　1693　鍼灸要歌集　安井昌玄.jpg</v>
      </c>
    </row>
    <row r="4130" spans="1:2" x14ac:dyDescent="0.15">
      <c r="A4130" t="s">
        <v>4103</v>
      </c>
      <c r="B4130" t="str">
        <f>HYPERLINK("つ/つい　墜胎　1686　鍼灸要法指南　岩田利斎.jpg")</f>
        <v>つ/つい　墜胎　1686　鍼灸要法指南　岩田利斎.jpg</v>
      </c>
    </row>
    <row r="4131" spans="1:2" x14ac:dyDescent="0.15">
      <c r="A4131" t="s">
        <v>4104</v>
      </c>
      <c r="B4131" t="str">
        <f>HYPERLINK("つ/つう　痛風　1537　鍼灸聚英　明・高武_ページ_1.jpg")</f>
        <v>つ/つう　痛風　1537　鍼灸聚英　明・高武_ページ_1.jpg</v>
      </c>
    </row>
    <row r="4132" spans="1:2" x14ac:dyDescent="0.15">
      <c r="A4132" t="s">
        <v>4105</v>
      </c>
      <c r="B4132" t="str">
        <f>HYPERLINK("つ/つう　痛風　1537　鍼灸聚英　明・高武_ページ_2.jpg")</f>
        <v>つ/つう　痛風　1537　鍼灸聚英　明・高武_ページ_2.jpg</v>
      </c>
    </row>
    <row r="4133" spans="1:2" x14ac:dyDescent="0.15">
      <c r="A4133" t="s">
        <v>4106</v>
      </c>
      <c r="B4133" t="str">
        <f>HYPERLINK("つ/つう　痛風　1563　鍼灸集要　曲直瀬道三.jpg")</f>
        <v>つ/つう　痛風　1563　鍼灸集要　曲直瀬道三.jpg</v>
      </c>
    </row>
    <row r="4134" spans="1:2" x14ac:dyDescent="0.15">
      <c r="A4134" t="s">
        <v>4107</v>
      </c>
      <c r="B4134" t="str">
        <f>HYPERLINK("つ/つう　痛風　1686　鍼灸要法指南　岩田利斎.jpg")</f>
        <v>つ/つう　痛風　1686　鍼灸要法指南　岩田利斎.jpg</v>
      </c>
    </row>
    <row r="4135" spans="1:2" x14ac:dyDescent="0.15">
      <c r="A4135" t="s">
        <v>4108</v>
      </c>
      <c r="B4135" t="str">
        <f>HYPERLINK("つ/つう　痛風　1698　鍼灸抜粋大成　岡本一抱.jpg")</f>
        <v>つ/つう　痛風　1698　鍼灸抜粋大成　岡本一抱.jpg</v>
      </c>
    </row>
    <row r="4136" spans="1:2" x14ac:dyDescent="0.15">
      <c r="A4136" t="s">
        <v>4109</v>
      </c>
      <c r="B4136" t="str">
        <f>HYPERLINK("つ/つう　痛風　1718　つうふう　鍼灸重宝記　本郷正豊.jpg")</f>
        <v>つ/つう　痛風　1718　つうふう　鍼灸重宝記　本郷正豊.jpg</v>
      </c>
    </row>
    <row r="4137" spans="1:2" x14ac:dyDescent="0.15">
      <c r="A4137" t="s">
        <v>4110</v>
      </c>
      <c r="B4137" t="str">
        <f>HYPERLINK("つ/つう　痛風　1767　鍼灸則　菅沼周桂.jpg")</f>
        <v>つ/つう　痛風　1767　鍼灸則　菅沼周桂.jpg</v>
      </c>
    </row>
    <row r="4138" spans="1:2" x14ac:dyDescent="0.15">
      <c r="A4138" t="s">
        <v>4111</v>
      </c>
      <c r="B4138" t="str">
        <f>HYPERLINK("つ/つう　痛風　1773　鍼灸手引草　大簡室主人.jpg")</f>
        <v>つ/つう　痛風　1773　鍼灸手引草　大簡室主人.jpg</v>
      </c>
    </row>
    <row r="4139" spans="1:2" x14ac:dyDescent="0.15">
      <c r="A4139" t="s">
        <v>4112</v>
      </c>
      <c r="B4139" t="str">
        <f>HYPERLINK("つ/つう　痛風　成書年未詳　灸穴集　著者未詳.jpg")</f>
        <v>つ/つう　痛風　成書年未詳　灸穴集　著者未詳.jpg</v>
      </c>
    </row>
    <row r="4140" spans="1:2" x14ac:dyDescent="0.15">
      <c r="A4140" t="s">
        <v>4113</v>
      </c>
      <c r="B4140" t="str">
        <f>HYPERLINK("つ/つう　痛風　成書年未詳　経穴図解　著者未詳.jpg")</f>
        <v>つ/つう　痛風　成書年未詳　経穴図解　著者未詳.jpg</v>
      </c>
    </row>
    <row r="4141" spans="1:2" x14ac:dyDescent="0.15">
      <c r="A4141" t="s">
        <v>4114</v>
      </c>
      <c r="B4141" t="str">
        <f>HYPERLINK("つ/つう　痛風脚気　1792　鍼法要集　源長起_ページ_1.jpg")</f>
        <v>つ/つう　痛風脚気　1792　鍼法要集　源長起_ページ_1.jpg</v>
      </c>
    </row>
    <row r="4142" spans="1:2" x14ac:dyDescent="0.15">
      <c r="A4142" t="s">
        <v>4115</v>
      </c>
      <c r="B4142" t="str">
        <f>HYPERLINK("つ/つう　痛風脚気　1792　鍼法要集　源長起_ページ_2.jpg")</f>
        <v>つ/つう　痛風脚気　1792　鍼法要集　源長起_ページ_2.jpg</v>
      </c>
    </row>
    <row r="4143" spans="1:2" x14ac:dyDescent="0.15">
      <c r="A4143" t="s">
        <v>4116</v>
      </c>
      <c r="B4143" t="str">
        <f>HYPERLINK("つ/つう　痛風脚気　1792　鍼法要集　源長起_ページ_3.jpg")</f>
        <v>つ/つう　痛風脚気　1792　鍼法要集　源長起_ページ_3.jpg</v>
      </c>
    </row>
    <row r="4144" spans="1:2" x14ac:dyDescent="0.15">
      <c r="A4144" t="s">
        <v>4117</v>
      </c>
      <c r="B4144" t="str">
        <f>HYPERLINK("つ/つう　諸痛　1686　鍼灸要法指南　岩田利斎.jpg")</f>
        <v>つ/つう　諸痛　1686　鍼灸要法指南　岩田利斎.jpg</v>
      </c>
    </row>
    <row r="4145" spans="1:2" x14ac:dyDescent="0.15">
      <c r="A4145" t="s">
        <v>4118</v>
      </c>
      <c r="B4145" t="str">
        <f>HYPERLINK("つ/つう　諸痛　1785　鍼書　本城義軒.jpg")</f>
        <v>つ/つう　諸痛　1785　鍼書　本城義軒.jpg</v>
      </c>
    </row>
    <row r="4146" spans="1:2" x14ac:dyDescent="0.15">
      <c r="A4146" t="s">
        <v>4119</v>
      </c>
      <c r="B4146" t="str">
        <f>HYPERLINK("つ/つう　諸痛針意　1613　古今集鍼法　長生庵了味か.jpg")</f>
        <v>つ/つう　諸痛針意　1613　古今集鍼法　長生庵了味か.jpg</v>
      </c>
    </row>
    <row r="4147" spans="1:2" x14ac:dyDescent="0.15">
      <c r="A4147" t="s">
        <v>4120</v>
      </c>
      <c r="B4147" t="str">
        <f>HYPERLINK("て/てい　てい耳（ていに）　みみだり　耳道加多児（カタル）　1887（明治20）　鍼灸備要　青山道醇.jpg")</f>
        <v>て/てい　てい耳（ていに）　みみだり　耳道加多児（カタル）　1887（明治20）　鍼灸備要　青山道醇.jpg</v>
      </c>
    </row>
    <row r="4148" spans="1:2" x14ac:dyDescent="0.15">
      <c r="A4148" t="s">
        <v>4121</v>
      </c>
      <c r="B4148" t="str">
        <f>HYPERLINK("て/てい　てい耳（生瘡）　1220　鍼灸資生経　王執中.jpg")</f>
        <v>て/てい　てい耳（生瘡）　1220　鍼灸資生経　王執中.jpg</v>
      </c>
    </row>
    <row r="4149" spans="1:2" x14ac:dyDescent="0.15">
      <c r="A4149" t="s">
        <v>4122</v>
      </c>
      <c r="B4149" t="str">
        <f>HYPERLINK("て/てい　嚔　1669　鍼灸枢要　山本玄通_ページ_1.jpg")</f>
        <v>て/てい　嚔　1669　鍼灸枢要　山本玄通_ページ_1.jpg</v>
      </c>
    </row>
    <row r="4150" spans="1:2" x14ac:dyDescent="0.15">
      <c r="A4150" t="s">
        <v>4123</v>
      </c>
      <c r="B4150" t="str">
        <f>HYPERLINK("て/てい　嚔　1669　鍼灸枢要　山本玄通_ページ_2.jpg")</f>
        <v>て/てい　嚔　1669　鍼灸枢要　山本玄通_ページ_2.jpg</v>
      </c>
    </row>
    <row r="4151" spans="1:2" x14ac:dyDescent="0.15">
      <c r="A4151" t="s">
        <v>4124</v>
      </c>
      <c r="B4151" t="str">
        <f>HYPERLINK("て/てん　天行中風（てんこうちうふう）　はやりかせ　流行性感冒　1887（明治20）　鍼灸備要　青山道醇.jpg")</f>
        <v>て/てん　天行中風（てんこうちうふう）　はやりかせ　流行性感冒　1887（明治20）　鍼灸備要　青山道醇.jpg</v>
      </c>
    </row>
    <row r="4152" spans="1:2" x14ac:dyDescent="0.15">
      <c r="A4152" t="s">
        <v>4125</v>
      </c>
      <c r="B4152" t="str">
        <f>HYPERLINK("て/てん　天行赤眼（てんかうしやくぐわん）　はやりめ、又、やみめ　結膜炎　1887（明治20）　鍼灸備要　青山道醇.jpg")</f>
        <v>て/てん　天行赤眼（てんかうしやくぐわん）　はやりめ、又、やみめ　結膜炎　1887（明治20）　鍼灸備要　青山道醇.jpg</v>
      </c>
    </row>
    <row r="4153" spans="1:2" x14ac:dyDescent="0.15">
      <c r="A4153" t="s">
        <v>4126</v>
      </c>
      <c r="B4153" t="str">
        <f>HYPERLINK("て/てん　心邪癲狂部　1425　神応経　明・陳会撰・劉瑾重校_ページ_1.jpg")</f>
        <v>て/てん　心邪癲狂部　1425　神応経　明・陳会撰・劉瑾重校_ページ_1.jpg</v>
      </c>
    </row>
    <row r="4154" spans="1:2" x14ac:dyDescent="0.15">
      <c r="A4154" t="s">
        <v>4127</v>
      </c>
      <c r="B4154" t="str">
        <f>HYPERLINK("て/てん　心邪癲狂部　1425　神応経　明・陳会撰・劉瑾重校_ページ_2.jpg")</f>
        <v>て/てん　心邪癲狂部　1425　神応経　明・陳会撰・劉瑾重校_ページ_2.jpg</v>
      </c>
    </row>
    <row r="4155" spans="1:2" x14ac:dyDescent="0.15">
      <c r="A4155" t="s">
        <v>4128</v>
      </c>
      <c r="B4155" t="str">
        <f>HYPERLINK("て/てん　心邪癲狂部　1425　神応経　明・陳会撰・劉瑾重校_ページ_3.jpg")</f>
        <v>て/てん　心邪癲狂部　1425　神応経　明・陳会撰・劉瑾重校_ページ_3.jpg</v>
      </c>
    </row>
    <row r="4156" spans="1:2" x14ac:dyDescent="0.15">
      <c r="A4156" t="s">
        <v>4129</v>
      </c>
      <c r="B4156" t="str">
        <f>HYPERLINK("て/てん　癲　狂　癇　1669　鍼灸枢要　山本玄通_ページ_01.jpg")</f>
        <v>て/てん　癲　狂　癇　1669　鍼灸枢要　山本玄通_ページ_01.jpg</v>
      </c>
    </row>
    <row r="4157" spans="1:2" x14ac:dyDescent="0.15">
      <c r="A4157" t="s">
        <v>4130</v>
      </c>
      <c r="B4157" t="str">
        <f>HYPERLINK("て/てん　癲　狂　癇　1669　鍼灸枢要　山本玄通_ページ_02.jpg")</f>
        <v>て/てん　癲　狂　癇　1669　鍼灸枢要　山本玄通_ページ_02.jpg</v>
      </c>
    </row>
    <row r="4158" spans="1:2" x14ac:dyDescent="0.15">
      <c r="A4158" t="s">
        <v>4131</v>
      </c>
      <c r="B4158" t="str">
        <f>HYPERLINK("て/てん　癲　狂　癇　1669　鍼灸枢要　山本玄通_ページ_03.jpg")</f>
        <v>て/てん　癲　狂　癇　1669　鍼灸枢要　山本玄通_ページ_03.jpg</v>
      </c>
    </row>
    <row r="4159" spans="1:2" x14ac:dyDescent="0.15">
      <c r="A4159" t="s">
        <v>4132</v>
      </c>
      <c r="B4159" t="str">
        <f>HYPERLINK("て/てん　癲　狂　癇　1669　鍼灸枢要　山本玄通_ページ_04.jpg")</f>
        <v>て/てん　癲　狂　癇　1669　鍼灸枢要　山本玄通_ページ_04.jpg</v>
      </c>
    </row>
    <row r="4160" spans="1:2" x14ac:dyDescent="0.15">
      <c r="A4160" t="s">
        <v>4133</v>
      </c>
      <c r="B4160" t="str">
        <f>HYPERLINK("て/てん　癲　狂　癇　1669　鍼灸枢要　山本玄通_ページ_05.jpg")</f>
        <v>て/てん　癲　狂　癇　1669　鍼灸枢要　山本玄通_ページ_05.jpg</v>
      </c>
    </row>
    <row r="4161" spans="1:2" x14ac:dyDescent="0.15">
      <c r="A4161" t="s">
        <v>4134</v>
      </c>
      <c r="B4161" t="str">
        <f>HYPERLINK("て/てん　癲　狂　癇　1669　鍼灸枢要　山本玄通_ページ_06.jpg")</f>
        <v>て/てん　癲　狂　癇　1669　鍼灸枢要　山本玄通_ページ_06.jpg</v>
      </c>
    </row>
    <row r="4162" spans="1:2" x14ac:dyDescent="0.15">
      <c r="A4162" t="s">
        <v>4135</v>
      </c>
      <c r="B4162" t="str">
        <f>HYPERLINK("て/てん　癲　狂　癇　1669　鍼灸枢要　山本玄通_ページ_07.jpg")</f>
        <v>て/てん　癲　狂　癇　1669　鍼灸枢要　山本玄通_ページ_07.jpg</v>
      </c>
    </row>
    <row r="4163" spans="1:2" x14ac:dyDescent="0.15">
      <c r="A4163" t="s">
        <v>4136</v>
      </c>
      <c r="B4163" t="str">
        <f>HYPERLINK("て/てん　癲　狂　癇　1669　鍼灸枢要　山本玄通_ページ_08.jpg")</f>
        <v>て/てん　癲　狂　癇　1669　鍼灸枢要　山本玄通_ページ_08.jpg</v>
      </c>
    </row>
    <row r="4164" spans="1:2" x14ac:dyDescent="0.15">
      <c r="A4164" t="s">
        <v>4137</v>
      </c>
      <c r="B4164" t="str">
        <f>HYPERLINK("て/てん　癲　狂　癇　1669　鍼灸枢要　山本玄通_ページ_09.jpg")</f>
        <v>て/てん　癲　狂　癇　1669　鍼灸枢要　山本玄通_ページ_09.jpg</v>
      </c>
    </row>
    <row r="4165" spans="1:2" x14ac:dyDescent="0.15">
      <c r="A4165" t="s">
        <v>4138</v>
      </c>
      <c r="B4165" t="str">
        <f>HYPERLINK("て/てん　癲　狂　癇　1669　鍼灸枢要　山本玄通_ページ_10.jpg")</f>
        <v>て/てん　癲　狂　癇　1669　鍼灸枢要　山本玄通_ページ_10.jpg</v>
      </c>
    </row>
    <row r="4166" spans="1:2" x14ac:dyDescent="0.15">
      <c r="A4166" t="s">
        <v>4139</v>
      </c>
      <c r="B4166" t="str">
        <f>HYPERLINK("て/てん　癲狂　1698　鍼灸抜粋大成　岡本一抱_ページ_1.jpg")</f>
        <v>て/てん　癲狂　1698　鍼灸抜粋大成　岡本一抱_ページ_1.jpg</v>
      </c>
    </row>
    <row r="4167" spans="1:2" x14ac:dyDescent="0.15">
      <c r="A4167" t="s">
        <v>4140</v>
      </c>
      <c r="B4167" t="str">
        <f>HYPERLINK("て/てん　癲狂　1698　鍼灸抜粋大成　岡本一抱_ページ_2.jpg")</f>
        <v>て/てん　癲狂　1698　鍼灸抜粋大成　岡本一抱_ページ_2.jpg</v>
      </c>
    </row>
    <row r="4168" spans="1:2" x14ac:dyDescent="0.15">
      <c r="A4168" t="s">
        <v>4141</v>
      </c>
      <c r="B4168" t="str">
        <f>HYPERLINK("て/てん　癲狂　1767　鍼灸則　菅沼周桂.jpg")</f>
        <v>て/てん　癲狂　1767　鍼灸則　菅沼周桂.jpg</v>
      </c>
    </row>
    <row r="4169" spans="1:2" x14ac:dyDescent="0.15">
      <c r="A4169" t="s">
        <v>4142</v>
      </c>
      <c r="B4169" t="str">
        <f>HYPERLINK("て/てん　癲狂　1800　岡田流鍼術書　岡田見龍_ページ_1.jpg")</f>
        <v>て/てん　癲狂　1800　岡田流鍼術書　岡田見龍_ページ_1.jpg</v>
      </c>
    </row>
    <row r="4170" spans="1:2" x14ac:dyDescent="0.15">
      <c r="A4170" t="s">
        <v>4143</v>
      </c>
      <c r="B4170" t="str">
        <f>HYPERLINK("て/てん　癲狂　1800　岡田流鍼術書　岡田見龍_ページ_2.jpg")</f>
        <v>て/てん　癲狂　1800　岡田流鍼術書　岡田見龍_ページ_2.jpg</v>
      </c>
    </row>
    <row r="4171" spans="1:2" x14ac:dyDescent="0.15">
      <c r="A4171" t="s">
        <v>4144</v>
      </c>
      <c r="B4171" t="str">
        <f>HYPERLINK("て/てん　癲狂　1800　鍼灸備要　小坂元祐_ページ_1.jpg")</f>
        <v>て/てん　癲狂　1800　鍼灸備要　小坂元祐_ページ_1.jpg</v>
      </c>
    </row>
    <row r="4172" spans="1:2" x14ac:dyDescent="0.15">
      <c r="A4172" t="s">
        <v>4145</v>
      </c>
      <c r="B4172" t="str">
        <f>HYPERLINK("て/てん　癲狂　1800　鍼灸備要　小坂元祐_ページ_2.jpg")</f>
        <v>て/てん　癲狂　1800　鍼灸備要　小坂元祐_ページ_2.jpg</v>
      </c>
    </row>
    <row r="4173" spans="1:2" x14ac:dyDescent="0.15">
      <c r="A4173" t="s">
        <v>4146</v>
      </c>
      <c r="B4173" t="str">
        <f>HYPERLINK("て/てん　癲狂　1800　鍼灸備要　小坂元祐_ページ_3.jpg")</f>
        <v>て/てん　癲狂　1800　鍼灸備要　小坂元祐_ページ_3.jpg</v>
      </c>
    </row>
    <row r="4174" spans="1:2" x14ac:dyDescent="0.15">
      <c r="A4174" t="s">
        <v>4147</v>
      </c>
      <c r="B4174" t="str">
        <f>HYPERLINK("て/てん　癲狂　1800　鍼灸備要　小坂元祐_ページ_4.jpg")</f>
        <v>て/てん　癲狂　1800　鍼灸備要　小坂元祐_ページ_4.jpg</v>
      </c>
    </row>
    <row r="4175" spans="1:2" x14ac:dyDescent="0.15">
      <c r="A4175" t="s">
        <v>4148</v>
      </c>
      <c r="B4175" t="str">
        <f>HYPERLINK("て/てん　癲狂　1813　名家灸選　浅井惟亨_ページ_1.jpg")</f>
        <v>て/てん　癲狂　1813　名家灸選　浅井惟亨_ページ_1.jpg</v>
      </c>
    </row>
    <row r="4176" spans="1:2" x14ac:dyDescent="0.15">
      <c r="A4176" t="s">
        <v>4149</v>
      </c>
      <c r="B4176" t="str">
        <f>HYPERLINK("て/てん　癲狂　1813　名家灸選　浅井惟亨_ページ_2.jpg")</f>
        <v>て/てん　癲狂　1813　名家灸選　浅井惟亨_ページ_2.jpg</v>
      </c>
    </row>
    <row r="4177" spans="1:2" x14ac:dyDescent="0.15">
      <c r="A4177" t="s">
        <v>4150</v>
      </c>
      <c r="B4177" t="str">
        <f>HYPERLINK("て/てん　癲狂　1813　名家灸選三編　平井庸信.jpg")</f>
        <v>て/てん　癲狂　1813　名家灸選三編　平井庸信.jpg</v>
      </c>
    </row>
    <row r="4178" spans="1:2" x14ac:dyDescent="0.15">
      <c r="A4178" t="s">
        <v>4151</v>
      </c>
      <c r="B4178" t="str">
        <f>HYPERLINK("て/てん　癲狂　癲癇　1912年（大正01）　鍼灸手引草　久木田七郎_ページ_1.jpg")</f>
        <v>て/てん　癲狂　癲癇　1912年（大正01）　鍼灸手引草　久木田七郎_ページ_1.jpg</v>
      </c>
    </row>
    <row r="4179" spans="1:2" x14ac:dyDescent="0.15">
      <c r="A4179" t="s">
        <v>4152</v>
      </c>
      <c r="B4179" t="str">
        <f>HYPERLINK("て/てん　癲狂　癲癇　1912年（大正01）　鍼灸手引草　久木田七郎_ページ_2.jpg")</f>
        <v>て/てん　癲狂　癲癇　1912年（大正01）　鍼灸手引草　久木田七郎_ページ_2.jpg</v>
      </c>
    </row>
    <row r="4180" spans="1:2" x14ac:dyDescent="0.15">
      <c r="A4180" t="s">
        <v>4153</v>
      </c>
      <c r="B4180" t="str">
        <f>HYPERLINK("て/てん　癲狂　諸癇　1686　鍼灸要法指南　岩田利斎_ページ_1.jpg")</f>
        <v>て/てん　癲狂　諸癇　1686　鍼灸要法指南　岩田利斎_ページ_1.jpg</v>
      </c>
    </row>
    <row r="4181" spans="1:2" x14ac:dyDescent="0.15">
      <c r="A4181" t="s">
        <v>4154</v>
      </c>
      <c r="B4181" t="str">
        <f>HYPERLINK("て/てん　癲狂　諸癇　1686　鍼灸要法指南　岩田利斎_ページ_2.jpg")</f>
        <v>て/てん　癲狂　諸癇　1686　鍼灸要法指南　岩田利斎_ページ_2.jpg</v>
      </c>
    </row>
    <row r="4182" spans="1:2" x14ac:dyDescent="0.15">
      <c r="A4182" t="s">
        <v>4155</v>
      </c>
      <c r="B4182" t="str">
        <f>HYPERLINK("て/てん　癲狂（狂走、狂言）　1220　鍼灸資生経　王執中_ページ_1.jpg")</f>
        <v>て/てん　癲狂（狂走、狂言）　1220　鍼灸資生経　王執中_ページ_1.jpg</v>
      </c>
    </row>
    <row r="4183" spans="1:2" x14ac:dyDescent="0.15">
      <c r="A4183" t="s">
        <v>4156</v>
      </c>
      <c r="B4183" t="str">
        <f>HYPERLINK("て/てん　癲狂（狂走、狂言）　1220　鍼灸資生経　王執中_ページ_2.jpg")</f>
        <v>て/てん　癲狂（狂走、狂言）　1220　鍼灸資生経　王執中_ページ_2.jpg</v>
      </c>
    </row>
    <row r="4184" spans="1:2" x14ac:dyDescent="0.15">
      <c r="A4184" t="s">
        <v>4157</v>
      </c>
      <c r="B4184" t="str">
        <f>HYPERLINK("て/てん　癲狂（狂走、狂言）　1220　鍼灸資生経　王執中_ページ_3.jpg")</f>
        <v>て/てん　癲狂（狂走、狂言）　1220　鍼灸資生経　王執中_ページ_3.jpg</v>
      </c>
    </row>
    <row r="4185" spans="1:2" x14ac:dyDescent="0.15">
      <c r="A4185" t="s">
        <v>4158</v>
      </c>
      <c r="B4185" t="str">
        <f>HYPERLINK("て/てん　癲疾　0650　千金方　孫思ばく_ページ_1.jpg")</f>
        <v>て/てん　癲疾　0650　千金方　孫思ばく_ページ_1.jpg</v>
      </c>
    </row>
    <row r="4186" spans="1:2" x14ac:dyDescent="0.15">
      <c r="A4186" t="s">
        <v>4159</v>
      </c>
      <c r="B4186" t="str">
        <f>HYPERLINK("て/てん　癲疾　0650　千金方　孫思ばく_ページ_2.jpg")</f>
        <v>て/てん　癲疾　0650　千金方　孫思ばく_ページ_2.jpg</v>
      </c>
    </row>
    <row r="4187" spans="1:2" x14ac:dyDescent="0.15">
      <c r="A4187" t="s">
        <v>4160</v>
      </c>
      <c r="B4187" t="str">
        <f>HYPERLINK("て/てん　癲疾　1574　兪穴参伍的法　秦宗巴_ページ_1.jpg")</f>
        <v>て/てん　癲疾　1574　兪穴参伍的法　秦宗巴_ページ_1.jpg</v>
      </c>
    </row>
    <row r="4188" spans="1:2" x14ac:dyDescent="0.15">
      <c r="A4188" t="s">
        <v>4161</v>
      </c>
      <c r="B4188" t="str">
        <f>HYPERLINK("て/てん　癲疾　1574　兪穴参伍的法　秦宗巴_ページ_2.jpg")</f>
        <v>て/てん　癲疾　1574　兪穴参伍的法　秦宗巴_ページ_2.jpg</v>
      </c>
    </row>
    <row r="4189" spans="1:2" x14ac:dyDescent="0.15">
      <c r="A4189" t="s">
        <v>4162</v>
      </c>
      <c r="B4189" t="str">
        <f>HYPERLINK("て/てん　癲疾（余論見風癇）　1220　鍼灸資生経　王執中_ページ_1.jpg")</f>
        <v>て/てん　癲疾（余論見風癇）　1220　鍼灸資生経　王執中_ページ_1.jpg</v>
      </c>
    </row>
    <row r="4190" spans="1:2" x14ac:dyDescent="0.15">
      <c r="A4190" t="s">
        <v>4163</v>
      </c>
      <c r="B4190" t="str">
        <f>HYPERLINK("て/てん　癲疾（余論見風癇）　1220　鍼灸資生経　王執中_ページ_2.jpg")</f>
        <v>て/てん　癲疾（余論見風癇）　1220　鍼灸資生経　王執中_ページ_2.jpg</v>
      </c>
    </row>
    <row r="4191" spans="1:2" x14ac:dyDescent="0.15">
      <c r="A4191" t="s">
        <v>4164</v>
      </c>
      <c r="B4191" t="str">
        <f>HYPERLINK("て/てん　癲病狂病　1299　続添要穴集　惟宗時俊_ページ_1.jpg")</f>
        <v>て/てん　癲病狂病　1299　続添要穴集　惟宗時俊_ページ_1.jpg</v>
      </c>
    </row>
    <row r="4192" spans="1:2" x14ac:dyDescent="0.15">
      <c r="A4192" t="s">
        <v>4165</v>
      </c>
      <c r="B4192" t="str">
        <f>HYPERLINK("て/てん　癲病狂病　1299　続添要穴集　惟宗時俊_ページ_2.jpg")</f>
        <v>て/てん　癲病狂病　1299　続添要穴集　惟宗時俊_ページ_2.jpg</v>
      </c>
    </row>
    <row r="4193" spans="1:2" x14ac:dyDescent="0.15">
      <c r="A4193" t="s">
        <v>4166</v>
      </c>
      <c r="B4193" t="str">
        <f>HYPERLINK("て/てん　癲癇　1220　鍼灸資生経　王執中_ページ_1.jpg")</f>
        <v>て/てん　癲癇　1220　鍼灸資生経　王執中_ページ_1.jpg</v>
      </c>
    </row>
    <row r="4194" spans="1:2" x14ac:dyDescent="0.15">
      <c r="A4194" t="s">
        <v>4167</v>
      </c>
      <c r="B4194" t="str">
        <f>HYPERLINK("て/てん　癲癇　1220　鍼灸資生経　王執中_ページ_2.jpg")</f>
        <v>て/てん　癲癇　1220　鍼灸資生経　王執中_ページ_2.jpg</v>
      </c>
    </row>
    <row r="4195" spans="1:2" x14ac:dyDescent="0.15">
      <c r="A4195" t="s">
        <v>4168</v>
      </c>
      <c r="B4195" t="str">
        <f>HYPERLINK("て/てん　癲癇　1607　扁鵲新流鍼書　越齋寿閑_ページ_1.jpg")</f>
        <v>て/てん　癲癇　1607　扁鵲新流鍼書　越齋寿閑_ページ_1.jpg</v>
      </c>
    </row>
    <row r="4196" spans="1:2" x14ac:dyDescent="0.15">
      <c r="A4196" t="s">
        <v>4169</v>
      </c>
      <c r="B4196" t="str">
        <f>HYPERLINK("て/てん　癲癇　1607　扁鵲新流鍼書　越齋寿閑_ページ_2.jpg")</f>
        <v>て/てん　癲癇　1607　扁鵲新流鍼書　越齋寿閑_ページ_2.jpg</v>
      </c>
    </row>
    <row r="4197" spans="1:2" x14ac:dyDescent="0.15">
      <c r="A4197" t="s">
        <v>4170</v>
      </c>
      <c r="B4197" t="str">
        <f>HYPERLINK("て/てん　癲癇　1680　鍼灸抜萃　著者未詳.jpg")</f>
        <v>て/てん　癲癇　1680　鍼灸抜萃　著者未詳.jpg</v>
      </c>
    </row>
    <row r="4198" spans="1:2" x14ac:dyDescent="0.15">
      <c r="A4198" t="s">
        <v>4171</v>
      </c>
      <c r="B4198" t="str">
        <f>HYPERLINK("て/てん　癲癇　1693　鍼灸要歌集　安井昌玄_ページ_1.jpg")</f>
        <v>て/てん　癲癇　1693　鍼灸要歌集　安井昌玄_ページ_1.jpg</v>
      </c>
    </row>
    <row r="4199" spans="1:2" x14ac:dyDescent="0.15">
      <c r="A4199" t="s">
        <v>4172</v>
      </c>
      <c r="B4199" t="str">
        <f>HYPERLINK("て/てん　癲癇　1693　鍼灸要歌集　安井昌玄_ページ_2.jpg")</f>
        <v>て/てん　癲癇　1693　鍼灸要歌集　安井昌玄_ページ_2.jpg</v>
      </c>
    </row>
    <row r="4200" spans="1:2" x14ac:dyDescent="0.15">
      <c r="A4200" t="s">
        <v>4173</v>
      </c>
      <c r="B4200" t="str">
        <f>HYPERLINK("て/てん　癲癇　1694　くつちかきの事　療治之大概集　杉山和一.jpg")</f>
        <v>て/てん　癲癇　1694　くつちかきの事　療治之大概集　杉山和一.jpg</v>
      </c>
    </row>
    <row r="4201" spans="1:2" x14ac:dyDescent="0.15">
      <c r="A4201" t="s">
        <v>4174</v>
      </c>
      <c r="B4201" t="str">
        <f>HYPERLINK("て/てん　癲癇　1694　選鍼三要集　杉山和一_ページ_1.jpg")</f>
        <v>て/てん　癲癇　1694　選鍼三要集　杉山和一_ページ_1.jpg</v>
      </c>
    </row>
    <row r="4202" spans="1:2" x14ac:dyDescent="0.15">
      <c r="A4202" t="s">
        <v>4175</v>
      </c>
      <c r="B4202" t="str">
        <f>HYPERLINK("て/てん　癲癇　1694　選鍼三要集　杉山和一_ページ_2.jpg")</f>
        <v>て/てん　癲癇　1694　選鍼三要集　杉山和一_ページ_2.jpg</v>
      </c>
    </row>
    <row r="4203" spans="1:2" x14ac:dyDescent="0.15">
      <c r="A4203" t="s">
        <v>4176</v>
      </c>
      <c r="B4203" t="str">
        <f>HYPERLINK("て/てん　癲癇　1696　広益鍼灸抜萃　著者未詳_ページ_1.jpg")</f>
        <v>て/てん　癲癇　1696　広益鍼灸抜萃　著者未詳_ページ_1.jpg</v>
      </c>
    </row>
    <row r="4204" spans="1:2" x14ac:dyDescent="0.15">
      <c r="A4204" t="s">
        <v>4177</v>
      </c>
      <c r="B4204" t="str">
        <f>HYPERLINK("て/てん　癲癇　1696　広益鍼灸抜萃　著者未詳_ページ_2.jpg")</f>
        <v>て/てん　癲癇　1696　広益鍼灸抜萃　著者未詳_ページ_2.jpg</v>
      </c>
    </row>
    <row r="4205" spans="1:2" x14ac:dyDescent="0.15">
      <c r="A4205" t="s">
        <v>4178</v>
      </c>
      <c r="B4205" t="str">
        <f>HYPERLINK("て/てん　癲癇　1718　くつち　鍼灸重宝記　本郷正豊.jpg")</f>
        <v>て/てん　癲癇　1718　くつち　鍼灸重宝記　本郷正豊.jpg</v>
      </c>
    </row>
    <row r="4206" spans="1:2" x14ac:dyDescent="0.15">
      <c r="A4206" t="s">
        <v>4179</v>
      </c>
      <c r="B4206" t="str">
        <f>HYPERLINK("て/てん　癲癇　1758　灸ぜつ塩土伝　三宅意安_ページ_1.jpg")</f>
        <v>て/てん　癲癇　1758　灸ぜつ塩土伝　三宅意安_ページ_1.jpg</v>
      </c>
    </row>
    <row r="4207" spans="1:2" x14ac:dyDescent="0.15">
      <c r="A4207" t="s">
        <v>4180</v>
      </c>
      <c r="B4207" t="str">
        <f>HYPERLINK("て/てん　癲癇　1758　灸ぜつ塩土伝　三宅意安_ページ_2.jpg")</f>
        <v>て/てん　癲癇　1758　灸ぜつ塩土伝　三宅意安_ページ_2.jpg</v>
      </c>
    </row>
    <row r="4208" spans="1:2" x14ac:dyDescent="0.15">
      <c r="A4208" t="s">
        <v>4181</v>
      </c>
      <c r="B4208" t="str">
        <f>HYPERLINK("て/てん　癲癇　1758　灸ぜつ塩土伝　三宅意安_ページ_3.jpg")</f>
        <v>て/てん　癲癇　1758　灸ぜつ塩土伝　三宅意安_ページ_3.jpg</v>
      </c>
    </row>
    <row r="4209" spans="1:2" x14ac:dyDescent="0.15">
      <c r="A4209" t="s">
        <v>4182</v>
      </c>
      <c r="B4209" t="str">
        <f>HYPERLINK("て/てん　癲癇　1773　鍼灸手引草　大簡室主人.jpg")</f>
        <v>て/てん　癲癇　1773　鍼灸手引草　大簡室主人.jpg</v>
      </c>
    </row>
    <row r="4210" spans="1:2" x14ac:dyDescent="0.15">
      <c r="A4210" t="s">
        <v>4183</v>
      </c>
      <c r="B4210" t="str">
        <f>HYPERLINK("て/てん　癲癇　1780　てんかん　鍼灸極秘伝　木村太沖.jpg")</f>
        <v>て/てん　癲癇　1780　てんかん　鍼灸極秘伝　木村太沖.jpg</v>
      </c>
    </row>
    <row r="4211" spans="1:2" x14ac:dyDescent="0.15">
      <c r="A4211" t="s">
        <v>4184</v>
      </c>
      <c r="B4211" t="str">
        <f>HYPERLINK("て/てん　癲癇　1792　鍼法要集　源長起_ページ_1.jpg")</f>
        <v>て/てん　癲癇　1792　鍼法要集　源長起_ページ_1.jpg</v>
      </c>
    </row>
    <row r="4212" spans="1:2" x14ac:dyDescent="0.15">
      <c r="A4212" t="s">
        <v>4185</v>
      </c>
      <c r="B4212" t="str">
        <f>HYPERLINK("て/てん　癲癇　1792　鍼法要集　源長起_ページ_2.jpg")</f>
        <v>て/てん　癲癇　1792　鍼法要集　源長起_ページ_2.jpg</v>
      </c>
    </row>
    <row r="4213" spans="1:2" x14ac:dyDescent="0.15">
      <c r="A4213" t="s">
        <v>4186</v>
      </c>
      <c r="B4213" t="str">
        <f>HYPERLINK("て/てん　癲癇　1887（明治20）　鍼灸備要　青山道醇.jpg")</f>
        <v>て/てん　癲癇　1887（明治20）　鍼灸備要　青山道醇.jpg</v>
      </c>
    </row>
    <row r="4214" spans="1:2" x14ac:dyDescent="0.15">
      <c r="A4214" t="s">
        <v>4187</v>
      </c>
      <c r="B4214" t="str">
        <f>HYPERLINK("て/てん　癲癇　成書年未詳　灸穴集　著者未詳_ページ_1.jpg")</f>
        <v>て/てん　癲癇　成書年未詳　灸穴集　著者未詳_ページ_1.jpg</v>
      </c>
    </row>
    <row r="4215" spans="1:2" x14ac:dyDescent="0.15">
      <c r="A4215" t="s">
        <v>4188</v>
      </c>
      <c r="B4215" t="str">
        <f>HYPERLINK("て/てん　癲癇　成書年未詳　灸穴集　著者未詳_ページ_2.jpg")</f>
        <v>て/てん　癲癇　成書年未詳　灸穴集　著者未詳_ページ_2.jpg</v>
      </c>
    </row>
    <row r="4216" spans="1:2" x14ac:dyDescent="0.15">
      <c r="A4216" t="s">
        <v>4189</v>
      </c>
      <c r="B4216" t="str">
        <f>HYPERLINK("て/てん　癲癇　成書年未詳　灸穴集　著者未詳_ページ_3.jpg")</f>
        <v>て/てん　癲癇　成書年未詳　灸穴集　著者未詳_ページ_3.jpg</v>
      </c>
    </row>
    <row r="4217" spans="1:2" x14ac:dyDescent="0.15">
      <c r="A4217" t="s">
        <v>4190</v>
      </c>
      <c r="B4217" t="str">
        <f>HYPERLINK("て/てん　癲癇　成書年未詳　灸穴集　著者未詳_ページ_4.jpg")</f>
        <v>て/てん　癲癇　成書年未詳　灸穴集　著者未詳_ページ_4.jpg</v>
      </c>
    </row>
    <row r="4218" spans="1:2" x14ac:dyDescent="0.15">
      <c r="A4218" t="s">
        <v>4191</v>
      </c>
      <c r="B4218" t="str">
        <f>HYPERLINK("て/てん　癲癇　成書年未詳　灸穴集　著者未詳_ページ_5.jpg")</f>
        <v>て/てん　癲癇　成書年未詳　灸穴集　著者未詳_ページ_5.jpg</v>
      </c>
    </row>
    <row r="4219" spans="1:2" x14ac:dyDescent="0.15">
      <c r="A4219" t="s">
        <v>4192</v>
      </c>
      <c r="B4219" t="str">
        <f>HYPERLINK("て/てん　癲癇　成書年未詳　灸穴集　著者未詳_ページ_6.jpg")</f>
        <v>て/てん　癲癇　成書年未詳　灸穴集　著者未詳_ページ_6.jpg</v>
      </c>
    </row>
    <row r="4220" spans="1:2" x14ac:dyDescent="0.15">
      <c r="A4220" t="s">
        <v>4193</v>
      </c>
      <c r="B4220" t="str">
        <f>HYPERLINK("て/てん　癲癇　成書年未詳　灸穴集　著者未詳_ページ_7.jpg")</f>
        <v>て/てん　癲癇　成書年未詳　灸穴集　著者未詳_ページ_7.jpg</v>
      </c>
    </row>
    <row r="4221" spans="1:2" x14ac:dyDescent="0.15">
      <c r="A4221" t="s">
        <v>4194</v>
      </c>
      <c r="B4221" t="str">
        <f>HYPERLINK("て/てん　癲癇　成書年未詳　灸穴集　著者未詳_ページ_8.jpg")</f>
        <v>て/てん　癲癇　成書年未詳　灸穴集　著者未詳_ページ_8.jpg</v>
      </c>
    </row>
    <row r="4222" spans="1:2" x14ac:dyDescent="0.15">
      <c r="A4222" t="s">
        <v>4195</v>
      </c>
      <c r="B4222" t="str">
        <f>HYPERLINK("て/てん　癲癇　成書年未詳　経穴図解　著者未詳.jpg")</f>
        <v>て/てん　癲癇　成書年未詳　経穴図解　著者未詳.jpg</v>
      </c>
    </row>
    <row r="4223" spans="1:2" x14ac:dyDescent="0.15">
      <c r="A4223" t="s">
        <v>4196</v>
      </c>
      <c r="B4223" t="str">
        <f>HYPERLINK("て/てん　癲癇　狂　失　1807　続名家灸選　平井庸信_ページ_1.jpg")</f>
        <v>て/てん　癲癇　狂　失　1807　続名家灸選　平井庸信_ページ_1.jpg</v>
      </c>
    </row>
    <row r="4224" spans="1:2" x14ac:dyDescent="0.15">
      <c r="A4224" t="s">
        <v>4197</v>
      </c>
      <c r="B4224" t="str">
        <f>HYPERLINK("て/てん　癲癇　狂　失　1807　続名家灸選　平井庸信_ページ_2.jpg")</f>
        <v>て/てん　癲癇　狂　失　1807　続名家灸選　平井庸信_ページ_2.jpg</v>
      </c>
    </row>
    <row r="4225" spans="1:2" x14ac:dyDescent="0.15">
      <c r="A4225" t="s">
        <v>4198</v>
      </c>
      <c r="B4225" t="str">
        <f>HYPERLINK("て/てん　癲癇　狂　失　1807　続名家灸選　平井庸信_ページ_3.jpg")</f>
        <v>て/てん　癲癇　狂　失　1807　続名家灸選　平井庸信_ページ_3.jpg</v>
      </c>
    </row>
    <row r="4226" spans="1:2" x14ac:dyDescent="0.15">
      <c r="A4226" t="s">
        <v>4199</v>
      </c>
      <c r="B4226" t="str">
        <f>HYPERLINK("て/てん　癲癇　狂　失　1807　続名家灸選　平井庸信_ページ_4.jpg")</f>
        <v>て/てん　癲癇　狂　失　1807　続名家灸選　平井庸信_ページ_4.jpg</v>
      </c>
    </row>
    <row r="4227" spans="1:2" x14ac:dyDescent="0.15">
      <c r="A4227" t="s">
        <v>4200</v>
      </c>
      <c r="B4227" t="str">
        <f>HYPERLINK("て/てん　癲癇　附　狂症　1694　鍼灸そかい集　高津敬節_ページ_1.jpg")</f>
        <v>て/てん　癲癇　附　狂症　1694　鍼灸そかい集　高津敬節_ページ_1.jpg</v>
      </c>
    </row>
    <row r="4228" spans="1:2" x14ac:dyDescent="0.15">
      <c r="A4228" t="s">
        <v>4201</v>
      </c>
      <c r="B4228" t="str">
        <f>HYPERLINK("て/てん　癲癇　附　狂症　1694　鍼灸そかい集　高津敬節_ページ_2.jpg")</f>
        <v>て/てん　癲癇　附　狂症　1694　鍼灸そかい集　高津敬節_ページ_2.jpg</v>
      </c>
    </row>
    <row r="4229" spans="1:2" x14ac:dyDescent="0.15">
      <c r="A4229" t="s">
        <v>4202</v>
      </c>
      <c r="B4229" t="str">
        <f>HYPERLINK("て/てん　癲癇　驚風　けいしょう　1758　灸ぜつ塩土伝　三宅意安_ページ_1.jpg")</f>
        <v>て/てん　癲癇　驚風　けいしょう　1758　灸ぜつ塩土伝　三宅意安_ページ_1.jpg</v>
      </c>
    </row>
    <row r="4230" spans="1:2" x14ac:dyDescent="0.15">
      <c r="A4230" t="s">
        <v>4203</v>
      </c>
      <c r="B4230" t="str">
        <f>HYPERLINK("て/てん　癲癇　驚風　けいしょう　1758　灸ぜつ塩土伝　三宅意安_ページ_2.jpg")</f>
        <v>て/てん　癲癇　驚風　けいしょう　1758　灸ぜつ塩土伝　三宅意安_ページ_2.jpg</v>
      </c>
    </row>
    <row r="4231" spans="1:2" x14ac:dyDescent="0.15">
      <c r="A4231" t="s">
        <v>4204</v>
      </c>
      <c r="B4231" t="str">
        <f>HYPERLINK("て/てん　癲癇けいしょう（小児けいしょう）　1220　鍼灸資生経　王執中_ページ_1.jpg")</f>
        <v>て/てん　癲癇けいしょう（小児けいしょう）　1220　鍼灸資生経　王執中_ページ_1.jpg</v>
      </c>
    </row>
    <row r="4232" spans="1:2" x14ac:dyDescent="0.15">
      <c r="A4232" t="s">
        <v>4205</v>
      </c>
      <c r="B4232" t="str">
        <f>HYPERLINK("て/てん　癲癇けいしょう（小児けいしょう）　1220　鍼灸資生経　王執中_ページ_2.jpg")</f>
        <v>て/てん　癲癇けいしょう（小児けいしょう）　1220　鍼灸資生経　王執中_ページ_2.jpg</v>
      </c>
    </row>
    <row r="4233" spans="1:2" x14ac:dyDescent="0.15">
      <c r="A4233" t="s">
        <v>4206</v>
      </c>
      <c r="B4233" t="str">
        <f>HYPERLINK("て/てん　癲癇狂　1679　鍼法奇貨　渡辺東伯_ページ_1.jpg")</f>
        <v>て/てん　癲癇狂　1679　鍼法奇貨　渡辺東伯_ページ_1.jpg</v>
      </c>
    </row>
    <row r="4234" spans="1:2" x14ac:dyDescent="0.15">
      <c r="A4234" t="s">
        <v>4207</v>
      </c>
      <c r="B4234" t="str">
        <f>HYPERLINK("て/てん　癲癇狂　1679　鍼法奇貨　渡辺東伯_ページ_2.jpg")</f>
        <v>て/てん　癲癇狂　1679　鍼法奇貨　渡辺東伯_ページ_2.jpg</v>
      </c>
    </row>
    <row r="4235" spans="1:2" x14ac:dyDescent="0.15">
      <c r="A4235" t="s">
        <v>4208</v>
      </c>
      <c r="B4235" t="str">
        <f>HYPERLINK("て/てん　癲癇狂　1679　鍼法奇貨　渡辺東伯_ページ_3.jpg")</f>
        <v>て/てん　癲癇狂　1679　鍼法奇貨　渡辺東伯_ページ_3.jpg</v>
      </c>
    </row>
    <row r="4236" spans="1:2" x14ac:dyDescent="0.15">
      <c r="A4236" t="s">
        <v>4209</v>
      </c>
      <c r="B4236" t="str">
        <f>HYPERLINK("て/てん　癲癇狂　1794　杉山流鍼術　島浦和田一.jpg")</f>
        <v>て/てん　癲癇狂　1794　杉山流鍼術　島浦和田一.jpg</v>
      </c>
    </row>
    <row r="4237" spans="1:2" x14ac:dyDescent="0.15">
      <c r="A4237" t="s">
        <v>4210</v>
      </c>
      <c r="B4237" t="str">
        <f>HYPERLINK("て/てん　癲癇秘兪　1758　灸ぜつ塩土伝　三宅意安_ページ_1.jpg")</f>
        <v>て/てん　癲癇秘兪　1758　灸ぜつ塩土伝　三宅意安_ページ_1.jpg</v>
      </c>
    </row>
    <row r="4238" spans="1:2" x14ac:dyDescent="0.15">
      <c r="A4238" t="s">
        <v>4211</v>
      </c>
      <c r="B4238" t="str">
        <f>HYPERLINK("て/てん　癲癇秘兪　1758　灸ぜつ塩土伝　三宅意安_ページ_2.jpg")</f>
        <v>て/てん　癲癇秘兪　1758　灸ぜつ塩土伝　三宅意安_ページ_2.jpg</v>
      </c>
    </row>
    <row r="4239" spans="1:2" x14ac:dyDescent="0.15">
      <c r="A4239" t="s">
        <v>4212</v>
      </c>
      <c r="B4239" t="str">
        <f>HYPERLINK("て/てん　癲邪（鬼邪）　1220　鍼灸資生経　王執中.jpg")</f>
        <v>て/てん　癲邪（鬼邪）　1220　鍼灸資生経　王執中.jpg</v>
      </c>
    </row>
    <row r="4240" spans="1:2" x14ac:dyDescent="0.15">
      <c r="A4240" t="s">
        <v>4213</v>
      </c>
      <c r="B4240" t="str">
        <f>HYPERLINK("て/てん　転ふ（てんふ）　さんごしやうべんつまり　産後尿閉　1887（明治20）　鍼灸備要　青山道醇.jpg")</f>
        <v>て/てん　転ふ（てんふ）　さんごしやうべんつまり　産後尿閉　1887（明治20）　鍼灸備要　青山道醇.jpg</v>
      </c>
    </row>
    <row r="4241" spans="1:2" x14ac:dyDescent="0.15">
      <c r="A4241" t="s">
        <v>4214</v>
      </c>
      <c r="B4241" t="str">
        <f>HYPERLINK("て/てん　転ほう小便不通　1315　鍼経摘英集　元・杜思敬「済生抜粋方」_ページ_1.jpg")</f>
        <v>て/てん　転ほう小便不通　1315　鍼経摘英集　元・杜思敬「済生抜粋方」_ページ_1.jpg</v>
      </c>
    </row>
    <row r="4242" spans="1:2" x14ac:dyDescent="0.15">
      <c r="A4242" t="s">
        <v>4215</v>
      </c>
      <c r="B4242" t="str">
        <f>HYPERLINK("て/てん　転ほう小便不通　1315　鍼経摘英集　元・杜思敬「済生抜粋方」_ページ_2.jpg")</f>
        <v>て/てん　転ほう小便不通　1315　鍼経摘英集　元・杜思敬「済生抜粋方」_ページ_2.jpg</v>
      </c>
    </row>
    <row r="4243" spans="1:2" x14ac:dyDescent="0.15">
      <c r="A4243" t="s">
        <v>4216</v>
      </c>
      <c r="B4243" t="str">
        <f>HYPERLINK("て/てん　転筋　1594　経脈方寸秘書　曲直瀬道三.jpg")</f>
        <v>て/てん　転筋　1594　経脈方寸秘書　曲直瀬道三.jpg</v>
      </c>
    </row>
    <row r="4244" spans="1:2" x14ac:dyDescent="0.15">
      <c r="A4244" t="s">
        <v>4217</v>
      </c>
      <c r="B4244" t="str">
        <f>HYPERLINK("て/てん　転筋　1669　鍼灸枢要　山本玄通_ページ_1.jpg")</f>
        <v>て/てん　転筋　1669　鍼灸枢要　山本玄通_ページ_1.jpg</v>
      </c>
    </row>
    <row r="4245" spans="1:2" x14ac:dyDescent="0.15">
      <c r="A4245" t="s">
        <v>4218</v>
      </c>
      <c r="B4245" t="str">
        <f>HYPERLINK("て/てん　転筋　1669　鍼灸枢要　山本玄通_ページ_2.jpg")</f>
        <v>て/てん　転筋　1669　鍼灸枢要　山本玄通_ページ_2.jpg</v>
      </c>
    </row>
    <row r="4246" spans="1:2" x14ac:dyDescent="0.15">
      <c r="A4246" t="s">
        <v>4219</v>
      </c>
      <c r="B4246" t="str">
        <f>HYPERLINK("て/てん　転筋　1669　鍼灸枢要　山本玄通_ページ_3.jpg")</f>
        <v>て/てん　転筋　1669　鍼灸枢要　山本玄通_ページ_3.jpg</v>
      </c>
    </row>
    <row r="4247" spans="1:2" x14ac:dyDescent="0.15">
      <c r="A4247" t="s">
        <v>4220</v>
      </c>
      <c r="B4247" t="str">
        <f>HYPERLINK("て/てん　転筋　1694　選鍼三要集　杉山和一_ページ_1.jpg")</f>
        <v>て/てん　転筋　1694　選鍼三要集　杉山和一_ページ_1.jpg</v>
      </c>
    </row>
    <row r="4248" spans="1:2" x14ac:dyDescent="0.15">
      <c r="A4248" t="s">
        <v>4221</v>
      </c>
      <c r="B4248" t="str">
        <f>HYPERLINK("て/てん　転筋　1694　選鍼三要集　杉山和一_ページ_2.jpg")</f>
        <v>て/てん　転筋　1694　選鍼三要集　杉山和一_ページ_2.jpg</v>
      </c>
    </row>
    <row r="4249" spans="1:2" x14ac:dyDescent="0.15">
      <c r="A4249" t="s">
        <v>4222</v>
      </c>
      <c r="B4249" t="str">
        <f>HYPERLINK("て/てん　転筋　1765　鍼法弁惑　藤井秀孟_ページ_1.jpg")</f>
        <v>て/てん　転筋　1765　鍼法弁惑　藤井秀孟_ページ_1.jpg</v>
      </c>
    </row>
    <row r="4250" spans="1:2" x14ac:dyDescent="0.15">
      <c r="A4250" t="s">
        <v>4223</v>
      </c>
      <c r="B4250" t="str">
        <f>HYPERLINK("て/てん　転筋　1765　鍼法弁惑　藤井秀孟_ページ_2.jpg")</f>
        <v>て/てん　転筋　1765　鍼法弁惑　藤井秀孟_ページ_2.jpg</v>
      </c>
    </row>
    <row r="4251" spans="1:2" x14ac:dyDescent="0.15">
      <c r="A4251" t="s">
        <v>4224</v>
      </c>
      <c r="B4251" t="str">
        <f>HYPERLINK("て/てん　転筋　1767　鍼灸則　菅沼周桂.jpg")</f>
        <v>て/てん　転筋　1767　鍼灸則　菅沼周桂.jpg</v>
      </c>
    </row>
    <row r="4252" spans="1:2" x14ac:dyDescent="0.15">
      <c r="A4252" t="s">
        <v>4225</v>
      </c>
      <c r="B4252" t="str">
        <f>HYPERLINK("て/てん　転筋　1800　鍼灸備要　小坂元祐_ページ_1.jpg")</f>
        <v>て/てん　転筋　1800　鍼灸備要　小坂元祐_ページ_1.jpg</v>
      </c>
    </row>
    <row r="4253" spans="1:2" x14ac:dyDescent="0.15">
      <c r="A4253" t="s">
        <v>4226</v>
      </c>
      <c r="B4253" t="str">
        <f>HYPERLINK("て/てん　転筋　1800　鍼灸備要　小坂元祐_ページ_2.jpg")</f>
        <v>て/てん　転筋　1800　鍼灸備要　小坂元祐_ページ_2.jpg</v>
      </c>
    </row>
    <row r="4254" spans="1:2" x14ac:dyDescent="0.15">
      <c r="A4254" t="s">
        <v>4227</v>
      </c>
      <c r="B4254" t="str">
        <f>HYPERLINK("て/てん　転筋・脚気　かっけ、すじのつまる人に　1780　鍼灸極秘伝　木村太沖.jpg")</f>
        <v>て/てん　転筋・脚気　かっけ、すじのつまる人に　1780　鍼灸極秘伝　木村太沖.jpg</v>
      </c>
    </row>
    <row r="4255" spans="1:2" x14ac:dyDescent="0.15">
      <c r="A4255" t="s">
        <v>4228</v>
      </c>
      <c r="B4255" t="str">
        <f>HYPERLINK("て/てん　転筋（てんきん）　すじつまり　局発痙攣　1887（明治20）　鍼灸備要　青山道醇_ページ_1.jpg")</f>
        <v>て/てん　転筋（てんきん）　すじつまり　局発痙攣　1887（明治20）　鍼灸備要　青山道醇_ページ_1.jpg</v>
      </c>
    </row>
    <row r="4256" spans="1:2" x14ac:dyDescent="0.15">
      <c r="A4256" t="s">
        <v>4229</v>
      </c>
      <c r="B4256" t="str">
        <f>HYPERLINK("て/てん　転筋（てんきん）　すじつまり　局発痙攣　1887（明治20）　鍼灸備要　青山道醇_ページ_2.jpg")</f>
        <v>て/てん　転筋（てんきん）　すじつまり　局発痙攣　1887（明治20）　鍼灸備要　青山道醇_ページ_2.jpg</v>
      </c>
    </row>
    <row r="4257" spans="1:2" x14ac:dyDescent="0.15">
      <c r="A4257" t="s">
        <v>4230</v>
      </c>
      <c r="B4257" t="str">
        <f>HYPERLINK("て/てん　転胞　1220　鍼灸資生経　王執中_ページ_1.jpg")</f>
        <v>て/てん　転胞　1220　鍼灸資生経　王執中_ページ_1.jpg</v>
      </c>
    </row>
    <row r="4258" spans="1:2" x14ac:dyDescent="0.15">
      <c r="A4258" t="s">
        <v>4231</v>
      </c>
      <c r="B4258" t="str">
        <f>HYPERLINK("て/てん　転胞　1220　鍼灸資生経　王執中_ページ_2.jpg")</f>
        <v>て/てん　転胞　1220　鍼灸資生経　王執中_ページ_2.jpg</v>
      </c>
    </row>
    <row r="4259" spans="1:2" x14ac:dyDescent="0.15">
      <c r="A4259" t="s">
        <v>4232</v>
      </c>
      <c r="B4259" t="str">
        <f>HYPERLINK("て/てん　転胞　1686　鍼灸要法指南　岩田利斎.jpg")</f>
        <v>て/てん　転胞　1686　鍼灸要法指南　岩田利斎.jpg</v>
      </c>
    </row>
    <row r="4260" spans="1:2" x14ac:dyDescent="0.15">
      <c r="A4260" t="s">
        <v>4233</v>
      </c>
      <c r="B4260" t="str">
        <f>HYPERLINK("て/てん　転胞　小便閉　1813　名家灸選三編　平井庸信.jpg")</f>
        <v>て/てん　転胞　小便閉　1813　名家灸選三編　平井庸信.jpg</v>
      </c>
    </row>
    <row r="4261" spans="1:2" x14ac:dyDescent="0.15">
      <c r="A4261" t="s">
        <v>4234</v>
      </c>
      <c r="B4261" t="str">
        <f>HYPERLINK("て/てん　転胞小便不通　1226　備急灸法　宋・聞人耆年.jpg")</f>
        <v>て/てん　転胞小便不通　1226　備急灸法　宋・聞人耆年.jpg</v>
      </c>
    </row>
    <row r="4262" spans="1:2" x14ac:dyDescent="0.15">
      <c r="A4262" t="s">
        <v>4235</v>
      </c>
      <c r="B4262" t="str">
        <f>HYPERLINK("で/でき　水に溺れたる者の針　1912年（大正01）　鍼灸手引草　久木田七郎_ページ_1.jpg")</f>
        <v>で/でき　水に溺れたる者の針　1912年（大正01）　鍼灸手引草　久木田七郎_ページ_1.jpg</v>
      </c>
    </row>
    <row r="4263" spans="1:2" x14ac:dyDescent="0.15">
      <c r="A4263" t="s">
        <v>4236</v>
      </c>
      <c r="B4263" t="str">
        <f>HYPERLINK("で/でき　水に溺れたる者の針　1912年（大正01）　鍼灸手引草　久木田七郎_ページ_2.jpg")</f>
        <v>で/でき　水に溺れたる者の針　1912年（大正01）　鍼灸手引草　久木田七郎_ページ_2.jpg</v>
      </c>
    </row>
    <row r="4264" spans="1:2" x14ac:dyDescent="0.15">
      <c r="A4264" t="s">
        <v>4237</v>
      </c>
      <c r="B4264" t="str">
        <f>HYPERLINK("で/でき　溺　みずにおぼるる　1765　鍼法弁惑　藤井秀孟_ページ_1.jpg")</f>
        <v>で/でき　溺　みずにおぼるる　1765　鍼法弁惑　藤井秀孟_ページ_1.jpg</v>
      </c>
    </row>
    <row r="4265" spans="1:2" x14ac:dyDescent="0.15">
      <c r="A4265" t="s">
        <v>4238</v>
      </c>
      <c r="B4265" t="str">
        <f>HYPERLINK("で/でき　溺　みずにおぼるる　1765　鍼法弁惑　藤井秀孟_ページ_2.jpg")</f>
        <v>で/でき　溺　みずにおぼるる　1765　鍼法弁惑　藤井秀孟_ページ_2.jpg</v>
      </c>
    </row>
    <row r="4266" spans="1:2" x14ac:dyDescent="0.15">
      <c r="A4266" t="s">
        <v>4239</v>
      </c>
      <c r="B4266" t="str">
        <f>HYPERLINK("で/でき　溺死　1698　鍼灸抜粋大成　岡本一抱.jpg")</f>
        <v>で/でき　溺死　1698　鍼灸抜粋大成　岡本一抱.jpg</v>
      </c>
    </row>
    <row r="4267" spans="1:2" x14ac:dyDescent="0.15">
      <c r="A4267" t="s">
        <v>4240</v>
      </c>
      <c r="B4267" t="str">
        <f>HYPERLINK("で/でき　溺死　1773　鍼灸手引草　大簡室主人.jpg")</f>
        <v>で/でき　溺死　1773　鍼灸手引草　大簡室主人.jpg</v>
      </c>
    </row>
    <row r="4268" spans="1:2" x14ac:dyDescent="0.15">
      <c r="A4268" t="s">
        <v>4241</v>
      </c>
      <c r="B4268" t="str">
        <f>HYPERLINK("で/でき　溺死　みづにおぼれてしぬる　1718　鍼灸重宝記　本郷正豊.jpg")</f>
        <v>で/でき　溺死　みづにおぼれてしぬる　1718　鍼灸重宝記　本郷正豊.jpg</v>
      </c>
    </row>
    <row r="4269" spans="1:2" x14ac:dyDescent="0.15">
      <c r="A4269" t="s">
        <v>4242</v>
      </c>
      <c r="B4269" t="str">
        <f>HYPERLINK("で/でき　溺死　水におぼれたる人　1780　鍼灸極秘伝　木村太沖.jpg")</f>
        <v>で/でき　溺死　水におぼれたる人　1780　鍼灸極秘伝　木村太沖.jpg</v>
      </c>
    </row>
    <row r="4270" spans="1:2" x14ac:dyDescent="0.15">
      <c r="A4270" t="s">
        <v>4243</v>
      </c>
      <c r="B4270" t="str">
        <f>HYPERLINK("で/でき　溺水　1226　備急灸法　宋・聞人耆年_ページ_1.jpg")</f>
        <v>で/でき　溺水　1226　備急灸法　宋・聞人耆年_ページ_1.jpg</v>
      </c>
    </row>
    <row r="4271" spans="1:2" x14ac:dyDescent="0.15">
      <c r="A4271" t="s">
        <v>4244</v>
      </c>
      <c r="B4271" t="str">
        <f>HYPERLINK("で/でき　溺水　1226　備急灸法　宋・聞人耆年_ページ_2.jpg")</f>
        <v>で/でき　溺水　1226　備急灸法　宋・聞人耆年_ページ_2.jpg</v>
      </c>
    </row>
    <row r="4272" spans="1:2" x14ac:dyDescent="0.15">
      <c r="A4272" t="s">
        <v>4245</v>
      </c>
      <c r="B4272" t="str">
        <f>HYPERLINK("で/でき　溺水　1613　水溺吐水針穴　古今集鍼法　長生庵了味か.jpg")</f>
        <v>で/でき　溺水　1613　水溺吐水針穴　古今集鍼法　長生庵了味か.jpg</v>
      </c>
    </row>
    <row r="4273" spans="1:2" x14ac:dyDescent="0.15">
      <c r="A4273" t="s">
        <v>4246</v>
      </c>
      <c r="B4273" t="str">
        <f>HYPERLINK("で/でき　溺水　1680　鍼灸抜萃　著者未詳.jpg")</f>
        <v>で/でき　溺水　1680　鍼灸抜萃　著者未詳.jpg</v>
      </c>
    </row>
    <row r="4274" spans="1:2" x14ac:dyDescent="0.15">
      <c r="A4274" t="s">
        <v>4247</v>
      </c>
      <c r="B4274" t="str">
        <f>HYPERLINK("で/でき　溺水　1686　みずにおぼる　鍼灸要法指南　岩田利斎_ページ_1.jpg")</f>
        <v>で/でき　溺水　1686　みずにおぼる　鍼灸要法指南　岩田利斎_ページ_1.jpg</v>
      </c>
    </row>
    <row r="4275" spans="1:2" x14ac:dyDescent="0.15">
      <c r="A4275" t="s">
        <v>4248</v>
      </c>
      <c r="B4275" t="str">
        <f>HYPERLINK("で/でき　溺水　1686　みずにおぼる　鍼灸要法指南　岩田利斎_ページ_2.jpg")</f>
        <v>で/でき　溺水　1686　みずにおぼる　鍼灸要法指南　岩田利斎_ページ_2.jpg</v>
      </c>
    </row>
    <row r="4276" spans="1:2" x14ac:dyDescent="0.15">
      <c r="A4276" t="s">
        <v>4249</v>
      </c>
      <c r="B4276" t="str">
        <f>HYPERLINK("で/でき　溺水　1693　鍼灸要歌集　安井昌玄.jpg")</f>
        <v>で/でき　溺水　1693　鍼灸要歌集　安井昌玄.jpg</v>
      </c>
    </row>
    <row r="4277" spans="1:2" x14ac:dyDescent="0.15">
      <c r="A4277" t="s">
        <v>4250</v>
      </c>
      <c r="B4277" t="str">
        <f>HYPERLINK("で/でき　溺水　1696　広益鍼灸抜萃　著者未詳_ページ_1.jpg")</f>
        <v>で/でき　溺水　1696　広益鍼灸抜萃　著者未詳_ページ_1.jpg</v>
      </c>
    </row>
    <row r="4278" spans="1:2" x14ac:dyDescent="0.15">
      <c r="A4278" t="s">
        <v>4251</v>
      </c>
      <c r="B4278" t="str">
        <f>HYPERLINK("で/でき　溺水　1696　広益鍼灸抜萃　著者未詳_ページ_2.jpg")</f>
        <v>で/でき　溺水　1696　広益鍼灸抜萃　著者未詳_ページ_2.jpg</v>
      </c>
    </row>
    <row r="4279" spans="1:2" x14ac:dyDescent="0.15">
      <c r="A4279" t="s">
        <v>4252</v>
      </c>
      <c r="B4279" t="str">
        <f>HYPERLINK("で/でき　溺水　1792　鍼法要集　源長起.jpg")</f>
        <v>で/でき　溺水　1792　鍼法要集　源長起.jpg</v>
      </c>
    </row>
    <row r="4280" spans="1:2" x14ac:dyDescent="0.15">
      <c r="A4280" t="s">
        <v>4253</v>
      </c>
      <c r="B4280" t="str">
        <f>HYPERLINK("で/でき　溺濁　1680　鍼灸抜萃　著者未詳.jpg")</f>
        <v>で/でき　溺濁　1680　鍼灸抜萃　著者未詳.jpg</v>
      </c>
    </row>
    <row r="4281" spans="1:2" x14ac:dyDescent="0.15">
      <c r="A4281" t="s">
        <v>4254</v>
      </c>
      <c r="B4281" t="str">
        <f>HYPERLINK("で/でき　溺濁　1693　鍼灸要歌集　安井昌玄_ページ_1.jpg")</f>
        <v>で/でき　溺濁　1693　鍼灸要歌集　安井昌玄_ページ_1.jpg</v>
      </c>
    </row>
    <row r="4282" spans="1:2" x14ac:dyDescent="0.15">
      <c r="A4282" t="s">
        <v>4255</v>
      </c>
      <c r="B4282" t="str">
        <f>HYPERLINK("で/でき　溺濁　1693　鍼灸要歌集　安井昌玄_ページ_2.jpg")</f>
        <v>で/でき　溺濁　1693　鍼灸要歌集　安井昌玄_ページ_2.jpg</v>
      </c>
    </row>
    <row r="4283" spans="1:2" x14ac:dyDescent="0.15">
      <c r="A4283" t="s">
        <v>4256</v>
      </c>
      <c r="B4283" t="str">
        <f>HYPERLINK("で/でき　溺濁　1694　鍼灸そかい集　高津敬節.jpg")</f>
        <v>で/でき　溺濁　1694　鍼灸そかい集　高津敬節.jpg</v>
      </c>
    </row>
    <row r="4284" spans="1:2" x14ac:dyDescent="0.15">
      <c r="A4284" t="s">
        <v>4257</v>
      </c>
      <c r="B4284" t="str">
        <f>HYPERLINK("で/でき　溺濁　1696　広益鍼灸抜萃　著者未詳_ページ_1.jpg")</f>
        <v>で/でき　溺濁　1696　広益鍼灸抜萃　著者未詳_ページ_1.jpg</v>
      </c>
    </row>
    <row r="4285" spans="1:2" x14ac:dyDescent="0.15">
      <c r="A4285" t="s">
        <v>4258</v>
      </c>
      <c r="B4285" t="str">
        <f>HYPERLINK("で/でき　溺濁　1696　広益鍼灸抜萃　著者未詳_ページ_2.jpg")</f>
        <v>で/でき　溺濁　1696　広益鍼灸抜萃　著者未詳_ページ_2.jpg</v>
      </c>
    </row>
    <row r="4286" spans="1:2" x14ac:dyDescent="0.15">
      <c r="A4286" t="s">
        <v>4259</v>
      </c>
      <c r="B4286" t="str">
        <f>HYPERLINK("で/でき　溺濁　1773　鍼灸手引草　大簡室主人_ページ_1.jpg")</f>
        <v>で/でき　溺濁　1773　鍼灸手引草　大簡室主人_ページ_1.jpg</v>
      </c>
    </row>
    <row r="4287" spans="1:2" x14ac:dyDescent="0.15">
      <c r="A4287" t="s">
        <v>4260</v>
      </c>
      <c r="B4287" t="str">
        <f>HYPERLINK("で/でき　溺濁　1773　鍼灸手引草　大簡室主人_ページ_2.jpg")</f>
        <v>で/でき　溺濁　1773　鍼灸手引草　大簡室主人_ページ_2.jpg</v>
      </c>
    </row>
    <row r="4288" spans="1:2" x14ac:dyDescent="0.15">
      <c r="A4288" t="s">
        <v>4261</v>
      </c>
      <c r="B4288" t="str">
        <f>HYPERLINK("で/でん　伝尸　1703　鍼灸阿是要穴　岡本一抱.jpg")</f>
        <v>で/でん　伝尸　1703　鍼灸阿是要穴　岡本一抱.jpg</v>
      </c>
    </row>
    <row r="4289" spans="1:2" x14ac:dyDescent="0.15">
      <c r="A4289" t="s">
        <v>4262</v>
      </c>
      <c r="B4289" t="str">
        <f>HYPERLINK("で/でん　伝屍労　1800　鍼灸備要　小坂元祐_ページ_1.jpg")</f>
        <v>で/でん　伝屍労　1800　鍼灸備要　小坂元祐_ページ_1.jpg</v>
      </c>
    </row>
    <row r="4290" spans="1:2" x14ac:dyDescent="0.15">
      <c r="A4290" t="s">
        <v>4263</v>
      </c>
      <c r="B4290" t="str">
        <f>HYPERLINK("で/でん　伝屍労　1800　鍼灸備要　小坂元祐_ページ_2.jpg")</f>
        <v>で/でん　伝屍労　1800　鍼灸備要　小坂元祐_ページ_2.jpg</v>
      </c>
    </row>
    <row r="4291" spans="1:2" x14ac:dyDescent="0.15">
      <c r="A4291" t="s">
        <v>4264</v>
      </c>
      <c r="B4291" t="str">
        <f>HYPERLINK("で/でん　癜風　1807　続名家灸選　平井庸信.jpg")</f>
        <v>で/でん　癜風　1807　続名家灸選　平井庸信.jpg</v>
      </c>
    </row>
    <row r="4292" spans="1:2" x14ac:dyDescent="0.15">
      <c r="A4292" t="s">
        <v>4265</v>
      </c>
      <c r="B4292" t="str">
        <f>HYPERLINK("と/と　吐乳　1607　扁鵲新流鍼書　越齋寿閑_ページ_1.jpg")</f>
        <v>と/と　吐乳　1607　扁鵲新流鍼書　越齋寿閑_ページ_1.jpg</v>
      </c>
    </row>
    <row r="4293" spans="1:2" x14ac:dyDescent="0.15">
      <c r="A4293" t="s">
        <v>4266</v>
      </c>
      <c r="B4293" t="str">
        <f>HYPERLINK("と/と　吐乳　1607　扁鵲新流鍼書　越齋寿閑_ページ_2.jpg")</f>
        <v>と/と　吐乳　1607　扁鵲新流鍼書　越齋寿閑_ページ_2.jpg</v>
      </c>
    </row>
    <row r="4294" spans="1:2" x14ac:dyDescent="0.15">
      <c r="A4294" t="s">
        <v>4267</v>
      </c>
      <c r="B4294" t="str">
        <f>HYPERLINK("と/と　吐乳　1686　鍼灸要法指南　岩田利斎_ページ_1.jpg")</f>
        <v>と/と　吐乳　1686　鍼灸要法指南　岩田利斎_ページ_1.jpg</v>
      </c>
    </row>
    <row r="4295" spans="1:2" x14ac:dyDescent="0.15">
      <c r="A4295" t="s">
        <v>4268</v>
      </c>
      <c r="B4295" t="str">
        <f>HYPERLINK("と/と　吐乳　1686　鍼灸要法指南　岩田利斎_ページ_2.jpg")</f>
        <v>と/と　吐乳　1686　鍼灸要法指南　岩田利斎_ページ_2.jpg</v>
      </c>
    </row>
    <row r="4296" spans="1:2" x14ac:dyDescent="0.15">
      <c r="A4296" t="s">
        <v>4269</v>
      </c>
      <c r="B4296" t="str">
        <f>HYPERLINK("と/と　吐乳　1693　鍼灸要歌集　安井昌玄.jpg")</f>
        <v>と/と　吐乳　1693　鍼灸要歌集　安井昌玄.jpg</v>
      </c>
    </row>
    <row r="4297" spans="1:2" x14ac:dyDescent="0.15">
      <c r="A4297" t="s">
        <v>4270</v>
      </c>
      <c r="B4297" t="str">
        <f>HYPERLINK("と/と　吐乳止まず　小児ちちをはく時　1780　鍼灸極秘伝　木村太沖.jpg")</f>
        <v>と/と　吐乳止まず　小児ちちをはく時　1780　鍼灸極秘伝　木村太沖.jpg</v>
      </c>
    </row>
    <row r="4298" spans="1:2" x14ac:dyDescent="0.15">
      <c r="A4298" t="s">
        <v>4271</v>
      </c>
      <c r="B4298" t="str">
        <f>HYPERLINK("と/と　吐乳（とにう）　ちちをもどす　小児慢性嘔吐　1887（明治20）　鍼灸備要　青山道醇.jpg")</f>
        <v>と/と　吐乳（とにう）　ちちをもどす　小児慢性嘔吐　1887（明治20）　鍼灸備要　青山道醇.jpg</v>
      </c>
    </row>
    <row r="4299" spans="1:2" x14ac:dyDescent="0.15">
      <c r="A4299" t="s">
        <v>4272</v>
      </c>
      <c r="B4299" t="str">
        <f>HYPERLINK("と/と　吐瀉　1773　鍼灸手引草　大簡室主人.jpg")</f>
        <v>と/と　吐瀉　1773　鍼灸手引草　大簡室主人.jpg</v>
      </c>
    </row>
    <row r="4300" spans="1:2" x14ac:dyDescent="0.15">
      <c r="A4300" t="s">
        <v>4273</v>
      </c>
      <c r="B4300" t="str">
        <f>HYPERLINK("と/と　吐瀉　1912年（大正01）　鍼灸手引草　久木田七郎_ページ_1.jpg")</f>
        <v>と/と　吐瀉　1912年（大正01）　鍼灸手引草　久木田七郎_ページ_1.jpg</v>
      </c>
    </row>
    <row r="4301" spans="1:2" x14ac:dyDescent="0.15">
      <c r="A4301" t="s">
        <v>4274</v>
      </c>
      <c r="B4301" t="str">
        <f>HYPERLINK("と/と　吐瀉　1912年（大正01）　鍼灸手引草　久木田七郎_ページ_2.jpg")</f>
        <v>と/と　吐瀉　1912年（大正01）　鍼灸手引草　久木田七郎_ページ_2.jpg</v>
      </c>
    </row>
    <row r="4302" spans="1:2" x14ac:dyDescent="0.15">
      <c r="A4302" t="s">
        <v>4275</v>
      </c>
      <c r="B4302" t="str">
        <f>HYPERLINK("と/と　吐瀉　あげくだし　1718　鍼灸重宝記　本郷正豊.jpg")</f>
        <v>と/と　吐瀉　あげくだし　1718　鍼灸重宝記　本郷正豊.jpg</v>
      </c>
    </row>
    <row r="4303" spans="1:2" x14ac:dyDescent="0.15">
      <c r="A4303" t="s">
        <v>4276</v>
      </c>
      <c r="B4303" t="str">
        <f>HYPERLINK("と/と　吐瀉（小児）　1767　鍼灸則　菅沼周桂.jpg")</f>
        <v>と/と　吐瀉（小児）　1767　鍼灸則　菅沼周桂.jpg</v>
      </c>
    </row>
    <row r="4304" spans="1:2" x14ac:dyDescent="0.15">
      <c r="A4304" t="s">
        <v>4277</v>
      </c>
      <c r="B4304" t="str">
        <f>HYPERLINK("と/と　吐舌不収　1765　鍼法弁惑　藤井秀孟.jpg")</f>
        <v>と/と　吐舌不収　1765　鍼法弁惑　藤井秀孟.jpg</v>
      </c>
    </row>
    <row r="4305" spans="1:2" x14ac:dyDescent="0.15">
      <c r="A4305" t="s">
        <v>4278</v>
      </c>
      <c r="B4305" t="str">
        <f>HYPERLINK("と/と　吐舌（又云、弄舌）　舌のながき病、又、方言ながべろ　舌肥大　1887（明治20）　鍼灸備要　青山道醇.jpg")</f>
        <v>と/と　吐舌（又云、弄舌）　舌のながき病、又、方言ながべろ　舌肥大　1887（明治20）　鍼灸備要　青山道醇.jpg</v>
      </c>
    </row>
    <row r="4306" spans="1:2" x14ac:dyDescent="0.15">
      <c r="A4306" t="s">
        <v>4279</v>
      </c>
      <c r="B4306" t="str">
        <f>HYPERLINK("と/と　吐血　1563　鍼灸集要　曲直瀬道三.jpg")</f>
        <v>と/と　吐血　1563　鍼灸集要　曲直瀬道三.jpg</v>
      </c>
    </row>
    <row r="4307" spans="1:2" x14ac:dyDescent="0.15">
      <c r="A4307" t="s">
        <v>4280</v>
      </c>
      <c r="B4307" t="str">
        <f>HYPERLINK("と/と　吐血　1574　兪穴参伍的法　秦宗巴_ページ_1.jpg")</f>
        <v>と/と　吐血　1574　兪穴参伍的法　秦宗巴_ページ_1.jpg</v>
      </c>
    </row>
    <row r="4308" spans="1:2" x14ac:dyDescent="0.15">
      <c r="A4308" t="s">
        <v>4281</v>
      </c>
      <c r="B4308" t="str">
        <f>HYPERLINK("と/と　吐血　1574　兪穴参伍的法　秦宗巴_ページ_2.jpg")</f>
        <v>と/と　吐血　1574　兪穴参伍的法　秦宗巴_ページ_2.jpg</v>
      </c>
    </row>
    <row r="4309" spans="1:2" x14ac:dyDescent="0.15">
      <c r="A4309" t="s">
        <v>4282</v>
      </c>
      <c r="B4309" t="str">
        <f>HYPERLINK("と/と　吐血　1607　扁鵲新流鍼書　越齋寿閑_ページ_1.jpg")</f>
        <v>と/と　吐血　1607　扁鵲新流鍼書　越齋寿閑_ページ_1.jpg</v>
      </c>
    </row>
    <row r="4310" spans="1:2" x14ac:dyDescent="0.15">
      <c r="A4310" t="s">
        <v>4283</v>
      </c>
      <c r="B4310" t="str">
        <f>HYPERLINK("と/と　吐血　1607　扁鵲新流鍼書　越齋寿閑_ページ_2.jpg")</f>
        <v>と/と　吐血　1607　扁鵲新流鍼書　越齋寿閑_ページ_2.jpg</v>
      </c>
    </row>
    <row r="4311" spans="1:2" x14ac:dyDescent="0.15">
      <c r="A4311" t="s">
        <v>4284</v>
      </c>
      <c r="B4311" t="str">
        <f>HYPERLINK("と/と　吐血　1624　類経図翼　明・張介賓.jpg")</f>
        <v>と/と　吐血　1624　類経図翼　明・張介賓.jpg</v>
      </c>
    </row>
    <row r="4312" spans="1:2" x14ac:dyDescent="0.15">
      <c r="A4312" t="s">
        <v>4285</v>
      </c>
      <c r="B4312" t="str">
        <f>HYPERLINK("と/と　吐血　1624　類経図翼　明・張介賓_ページ_1.jpg")</f>
        <v>と/と　吐血　1624　類経図翼　明・張介賓_ページ_1.jpg</v>
      </c>
    </row>
    <row r="4313" spans="1:2" x14ac:dyDescent="0.15">
      <c r="A4313" t="s">
        <v>4286</v>
      </c>
      <c r="B4313" t="str">
        <f>HYPERLINK("と/と　吐血　1624　類経図翼　明・張介賓_ページ_2.jpg")</f>
        <v>と/と　吐血　1624　類経図翼　明・張介賓_ページ_2.jpg</v>
      </c>
    </row>
    <row r="4314" spans="1:2" x14ac:dyDescent="0.15">
      <c r="A4314" t="s">
        <v>4287</v>
      </c>
      <c r="B4314" t="str">
        <f>HYPERLINK("と/と　吐血　1680　鍼灸抜萃　著者未詳.jpg")</f>
        <v>と/と　吐血　1680　鍼灸抜萃　著者未詳.jpg</v>
      </c>
    </row>
    <row r="4315" spans="1:2" x14ac:dyDescent="0.15">
      <c r="A4315" t="s">
        <v>4288</v>
      </c>
      <c r="B4315" t="str">
        <f>HYPERLINK("と/と　吐血　1686　鍼灸要法指南　岩田利斎.jpg")</f>
        <v>と/と　吐血　1686　鍼灸要法指南　岩田利斎.jpg</v>
      </c>
    </row>
    <row r="4316" spans="1:2" x14ac:dyDescent="0.15">
      <c r="A4316" t="s">
        <v>4289</v>
      </c>
      <c r="B4316" t="str">
        <f>HYPERLINK("と/と　吐血　1693　鍼灸要歌集　安井昌玄_ページ_1.jpg")</f>
        <v>と/と　吐血　1693　鍼灸要歌集　安井昌玄_ページ_1.jpg</v>
      </c>
    </row>
    <row r="4317" spans="1:2" x14ac:dyDescent="0.15">
      <c r="A4317" t="s">
        <v>4290</v>
      </c>
      <c r="B4317" t="str">
        <f>HYPERLINK("と/と　吐血　1693　鍼灸要歌集　安井昌玄_ページ_2.jpg")</f>
        <v>と/と　吐血　1693　鍼灸要歌集　安井昌玄_ページ_2.jpg</v>
      </c>
    </row>
    <row r="4318" spans="1:2" x14ac:dyDescent="0.15">
      <c r="A4318" t="s">
        <v>4291</v>
      </c>
      <c r="B4318" t="str">
        <f>HYPERLINK("と/と　吐血　1696　広益鍼灸抜萃　著者未詳_ページ_1.jpg")</f>
        <v>と/と　吐血　1696　広益鍼灸抜萃　著者未詳_ページ_1.jpg</v>
      </c>
    </row>
    <row r="4319" spans="1:2" x14ac:dyDescent="0.15">
      <c r="A4319" t="s">
        <v>4292</v>
      </c>
      <c r="B4319" t="str">
        <f>HYPERLINK("と/と　吐血　1696　広益鍼灸抜萃　著者未詳_ページ_2.jpg")</f>
        <v>と/と　吐血　1696　広益鍼灸抜萃　著者未詳_ページ_2.jpg</v>
      </c>
    </row>
    <row r="4320" spans="1:2" x14ac:dyDescent="0.15">
      <c r="A4320" t="s">
        <v>4293</v>
      </c>
      <c r="B4320" t="str">
        <f>HYPERLINK("と/と　吐血　1767　鍼灸則　菅沼周桂_ページ_1.jpg")</f>
        <v>と/と　吐血　1767　鍼灸則　菅沼周桂_ページ_1.jpg</v>
      </c>
    </row>
    <row r="4321" spans="1:2" x14ac:dyDescent="0.15">
      <c r="A4321" t="s">
        <v>4294</v>
      </c>
      <c r="B4321" t="str">
        <f>HYPERLINK("と/と　吐血　1767　鍼灸則　菅沼周桂_ページ_2.jpg")</f>
        <v>と/と　吐血　1767　鍼灸則　菅沼周桂_ページ_2.jpg</v>
      </c>
    </row>
    <row r="4322" spans="1:2" x14ac:dyDescent="0.15">
      <c r="A4322" t="s">
        <v>4295</v>
      </c>
      <c r="B4322" t="str">
        <f>HYPERLINK("と/と　吐血　1773　鍼灸手引草　大簡室主人_ページ_1.jpg")</f>
        <v>と/と　吐血　1773　鍼灸手引草　大簡室主人_ページ_1.jpg</v>
      </c>
    </row>
    <row r="4323" spans="1:2" x14ac:dyDescent="0.15">
      <c r="A4323" t="s">
        <v>4296</v>
      </c>
      <c r="B4323" t="str">
        <f>HYPERLINK("と/と　吐血　1773　鍼灸手引草　大簡室主人_ページ_2.jpg")</f>
        <v>と/と　吐血　1773　鍼灸手引草　大簡室主人_ページ_2.jpg</v>
      </c>
    </row>
    <row r="4324" spans="1:2" x14ac:dyDescent="0.15">
      <c r="A4324" t="s">
        <v>4297</v>
      </c>
      <c r="B4324" t="str">
        <f>HYPERLINK("と/と　吐血　1785　鍼書　本城義軒.jpg")</f>
        <v>と/と　吐血　1785　鍼書　本城義軒.jpg</v>
      </c>
    </row>
    <row r="4325" spans="1:2" x14ac:dyDescent="0.15">
      <c r="A4325" t="s">
        <v>4298</v>
      </c>
      <c r="B4325" t="str">
        <f>HYPERLINK("と/と　吐血　1794　杉山流鍼術　島浦和田一.jpg")</f>
        <v>と/と　吐血　1794　杉山流鍼術　島浦和田一.jpg</v>
      </c>
    </row>
    <row r="4326" spans="1:2" x14ac:dyDescent="0.15">
      <c r="A4326" t="s">
        <v>4299</v>
      </c>
      <c r="B4326" t="str">
        <f>HYPERLINK("と/と　吐血　1794　杉山流鍼術　島浦和田一_ページ_1.jpg")</f>
        <v>と/と　吐血　1794　杉山流鍼術　島浦和田一_ページ_1.jpg</v>
      </c>
    </row>
    <row r="4327" spans="1:2" x14ac:dyDescent="0.15">
      <c r="A4327" t="s">
        <v>4300</v>
      </c>
      <c r="B4327" t="str">
        <f>HYPERLINK("と/と　吐血　1794　杉山流鍼術　島浦和田一_ページ_2.jpg")</f>
        <v>と/と　吐血　1794　杉山流鍼術　島浦和田一_ページ_2.jpg</v>
      </c>
    </row>
    <row r="4328" spans="1:2" x14ac:dyDescent="0.15">
      <c r="A4328" t="s">
        <v>4301</v>
      </c>
      <c r="B4328" t="str">
        <f>HYPERLINK("と/と　吐血　下血　成書年未詳　灸穴集　著者未詳_ページ_1.jpg")</f>
        <v>と/と　吐血　下血　成書年未詳　灸穴集　著者未詳_ページ_1.jpg</v>
      </c>
    </row>
    <row r="4329" spans="1:2" x14ac:dyDescent="0.15">
      <c r="A4329" t="s">
        <v>4302</v>
      </c>
      <c r="B4329" t="str">
        <f>HYPERLINK("と/と　吐血　下血　成書年未詳　灸穴集　著者未詳_ページ_2.jpg")</f>
        <v>と/と　吐血　下血　成書年未詳　灸穴集　著者未詳_ページ_2.jpg</v>
      </c>
    </row>
    <row r="4330" spans="1:2" x14ac:dyDescent="0.15">
      <c r="A4330" t="s">
        <v>4303</v>
      </c>
      <c r="B4330" t="str">
        <f>HYPERLINK("と/と　吐血　下血　成書年未詳　灸穴集　著者未詳_ページ_3.jpg")</f>
        <v>と/と　吐血　下血　成書年未詳　灸穴集　著者未詳_ページ_3.jpg</v>
      </c>
    </row>
    <row r="4331" spans="1:2" x14ac:dyDescent="0.15">
      <c r="A4331" t="s">
        <v>4304</v>
      </c>
      <c r="B4331" t="str">
        <f>HYPERLINK("と/と　吐血　嘔血　唾血　咳血　1912年（大正01）　鍼灸手引草　久木田七郎.jpg")</f>
        <v>と/と　吐血　嘔血　唾血　咳血　1912年（大正01）　鍼灸手引草　久木田七郎.jpg</v>
      </c>
    </row>
    <row r="4332" spans="1:2" x14ac:dyDescent="0.15">
      <c r="A4332" t="s">
        <v>4305</v>
      </c>
      <c r="B4332" t="str">
        <f>HYPERLINK("と/と　吐血　血へどを吐く病　胃出血　1887（明治20）　鍼灸備要　青山道醇.jpg")</f>
        <v>と/と　吐血　血へどを吐く病　胃出血　1887（明治20）　鍼灸備要　青山道醇.jpg</v>
      </c>
    </row>
    <row r="4333" spans="1:2" x14ac:dyDescent="0.15">
      <c r="A4333" t="s">
        <v>4306</v>
      </c>
      <c r="B4333" t="str">
        <f>HYPERLINK("と/と　吐血　血をはく人　1780　鍼灸極秘伝　木村太沖.jpg")</f>
        <v>と/と　吐血　血をはく人　1780　鍼灸極秘伝　木村太沖.jpg</v>
      </c>
    </row>
    <row r="4334" spans="1:2" x14ac:dyDescent="0.15">
      <c r="A4334" t="s">
        <v>4307</v>
      </c>
      <c r="B4334" t="str">
        <f>HYPERLINK("と/と　吐血　血をはく病の事　1694　療治之大概集　杉山和一.jpg")</f>
        <v>と/と　吐血　血をはく病の事　1694　療治之大概集　杉山和一.jpg</v>
      </c>
    </row>
    <row r="4335" spans="1:2" x14ac:dyDescent="0.15">
      <c r="A4335" t="s">
        <v>4308</v>
      </c>
      <c r="B4335" t="str">
        <f>HYPERLINK("と/と　吐血　衄血　1698　鍼灸抜粋大成　岡本一抱.jpg")</f>
        <v>と/と　吐血　衄血　1698　鍼灸抜粋大成　岡本一抱.jpg</v>
      </c>
    </row>
    <row r="4336" spans="1:2" x14ac:dyDescent="0.15">
      <c r="A4336" t="s">
        <v>4309</v>
      </c>
      <c r="B4336" t="str">
        <f>HYPERLINK("と/と　吐血　附　衂血、咳血、唾血　1694　鍼灸そかい集　高津敬節_ページ_1.jpg")</f>
        <v>と/と　吐血　附　衂血、咳血、唾血　1694　鍼灸そかい集　高津敬節_ページ_1.jpg</v>
      </c>
    </row>
    <row r="4337" spans="1:2" x14ac:dyDescent="0.15">
      <c r="A4337" t="s">
        <v>4310</v>
      </c>
      <c r="B4337" t="str">
        <f>HYPERLINK("と/と　吐血　附　衂血、咳血、唾血　1694　鍼灸そかい集　高津敬節_ページ_2.jpg")</f>
        <v>と/と　吐血　附　衂血、咳血、唾血　1694　鍼灸そかい集　高津敬節_ページ_2.jpg</v>
      </c>
    </row>
    <row r="4338" spans="1:2" x14ac:dyDescent="0.15">
      <c r="A4338" t="s">
        <v>4311</v>
      </c>
      <c r="B4338" t="str">
        <f>HYPERLINK("と/と　吐血并衂血・がい血・唾血・咯血　1718　鍼灸重宝記　本郷正豊.jpg")</f>
        <v>と/と　吐血并衂血・がい血・唾血・咯血　1718　鍼灸重宝記　本郷正豊.jpg</v>
      </c>
    </row>
    <row r="4339" spans="1:2" x14ac:dyDescent="0.15">
      <c r="A4339" t="s">
        <v>4312</v>
      </c>
      <c r="B4339" t="str">
        <f>HYPERLINK("と/と　吐血并衄血　成書年未詳　経穴図解　著者未詳.jpg")</f>
        <v>と/と　吐血并衄血　成書年未詳　経穴図解　著者未詳.jpg</v>
      </c>
    </row>
    <row r="4340" spans="1:2" x14ac:dyDescent="0.15">
      <c r="A4340" t="s">
        <v>4313</v>
      </c>
      <c r="B4340" t="str">
        <f>HYPERLINK("と/と　吐血昏暈不省人事　1794　杉山流鍼術　島浦和田一.jpg")</f>
        <v>と/と　吐血昏暈不省人事　1794　杉山流鍼術　島浦和田一.jpg</v>
      </c>
    </row>
    <row r="4341" spans="1:2" x14ac:dyDescent="0.15">
      <c r="A4341" t="s">
        <v>4314</v>
      </c>
      <c r="B4341" t="str">
        <f>HYPERLINK("と/と　吐血病　0650　千金方　孫思ばく.jpg")</f>
        <v>と/と　吐血病　0650　千金方　孫思ばく.jpg</v>
      </c>
    </row>
    <row r="4342" spans="1:2" x14ac:dyDescent="0.15">
      <c r="A4342" t="s">
        <v>4315</v>
      </c>
      <c r="B4342" t="str">
        <f>HYPERLINK("と/と　吐衄血　1537　鍼灸聚英　明・高武.jpg")</f>
        <v>と/と　吐衄血　1537　鍼灸聚英　明・高武.jpg</v>
      </c>
    </row>
    <row r="4343" spans="1:2" x14ac:dyDescent="0.15">
      <c r="A4343" t="s">
        <v>4316</v>
      </c>
      <c r="B4343" t="str">
        <f>HYPERLINK("と/と　吐逆　1607　扁鵲新流鍼書　越齋寿閑.jpg")</f>
        <v>と/と　吐逆　1607　扁鵲新流鍼書　越齋寿閑.jpg</v>
      </c>
    </row>
    <row r="4344" spans="1:2" x14ac:dyDescent="0.15">
      <c r="A4344" t="s">
        <v>4317</v>
      </c>
      <c r="B4344" t="str">
        <f>HYPERLINK("と/と　吐逆　嘔吐　乾嘔　1686　鍼灸要法指南　岩田利斎.jpg")</f>
        <v>と/と　吐逆　嘔吐　乾嘔　1686　鍼灸要法指南　岩田利斎.jpg</v>
      </c>
    </row>
    <row r="4345" spans="1:2" x14ac:dyDescent="0.15">
      <c r="A4345" t="s">
        <v>4318</v>
      </c>
      <c r="B4345" t="str">
        <f>HYPERLINK("と/とう　倒産　さかご　逆産　1887（明治20）　鍼灸備要　青山道醇.jpg")</f>
        <v>と/とう　倒産　さかご　逆産　1887（明治20）　鍼灸備要　青山道醇.jpg</v>
      </c>
    </row>
    <row r="4346" spans="1:2" x14ac:dyDescent="0.15">
      <c r="A4346" t="s">
        <v>4319</v>
      </c>
      <c r="B4346" t="str">
        <f>HYPERLINK("と/とう　倒睫拳毛（たうせうけんもう）　さかまつげ　睫毛内刺（せうもうなへし）　1887（明治20）　鍼灸備要　青山道醇.jpg")</f>
        <v>と/とう　倒睫拳毛（たうせうけんもう）　さかまつげ　睫毛内刺（せうもうなへし）　1887（明治20）　鍼灸備要　青山道醇.jpg</v>
      </c>
    </row>
    <row r="4347" spans="1:2" x14ac:dyDescent="0.15">
      <c r="A4347" t="s">
        <v>4320</v>
      </c>
      <c r="B4347" t="str">
        <f>HYPERLINK("と/とう　悪しき痘瘡にて血熱の甚しき者　あしきとうそうに血をとるべきこと　1780　鍼灸極秘伝　木村太沖.jpg")</f>
        <v>と/とう　悪しき痘瘡にて血熱の甚しき者　あしきとうそうに血をとるべきこと　1780　鍼灸極秘伝　木村太沖.jpg</v>
      </c>
    </row>
    <row r="4348" spans="1:2" x14ac:dyDescent="0.15">
      <c r="A4348" t="s">
        <v>4321</v>
      </c>
      <c r="B4348" t="str">
        <f>HYPERLINK("と/とう　湯火　やけど　1686　鍼灸要法指南　岩田利斎.jpg")</f>
        <v>と/とう　湯火　やけど　1686　鍼灸要法指南　岩田利斎.jpg</v>
      </c>
    </row>
    <row r="4349" spans="1:2" x14ac:dyDescent="0.15">
      <c r="A4349" t="s">
        <v>4322</v>
      </c>
      <c r="B4349" t="str">
        <f>HYPERLINK("と/とう　溏泄　1220　鍼灸資生経　王執中.jpg")</f>
        <v>と/とう　溏泄　1220　鍼灸資生経　王執中.jpg</v>
      </c>
    </row>
    <row r="4350" spans="1:2" x14ac:dyDescent="0.15">
      <c r="A4350" t="s">
        <v>4323</v>
      </c>
      <c r="B4350" t="str">
        <f>HYPERLINK("と/とう　溏泄下痢　0300　●足太陰厥脈病発溏泄下痢　第五　鍼灸甲乙経　皇甫謐.jpg")</f>
        <v>と/とう　溏泄下痢　0300　●足太陰厥脈病発溏泄下痢　第五　鍼灸甲乙経　皇甫謐.jpg</v>
      </c>
    </row>
    <row r="4351" spans="1:2" x14ac:dyDescent="0.15">
      <c r="A4351" t="s">
        <v>4324</v>
      </c>
      <c r="B4351" t="str">
        <f>HYPERLINK("と/とう　痘疹之針穴　1613　古今集鍼法　長生庵了味か.jpg")</f>
        <v>と/とう　痘疹之針穴　1613　古今集鍼法　長生庵了味か.jpg</v>
      </c>
    </row>
    <row r="4352" spans="1:2" x14ac:dyDescent="0.15">
      <c r="A4352" t="s">
        <v>4325</v>
      </c>
      <c r="B4352" t="str">
        <f>HYPERLINK("と/とう　痘瘡　1792　鍼法要集　源長起_ページ_1.jpg")</f>
        <v>と/とう　痘瘡　1792　鍼法要集　源長起_ページ_1.jpg</v>
      </c>
    </row>
    <row r="4353" spans="1:2" x14ac:dyDescent="0.15">
      <c r="A4353" t="s">
        <v>4326</v>
      </c>
      <c r="B4353" t="str">
        <f>HYPERLINK("と/とう　痘瘡　1792　鍼法要集　源長起_ページ_2.jpg")</f>
        <v>と/とう　痘瘡　1792　鍼法要集　源長起_ページ_2.jpg</v>
      </c>
    </row>
    <row r="4354" spans="1:2" x14ac:dyDescent="0.15">
      <c r="A4354" t="s">
        <v>4327</v>
      </c>
      <c r="B4354" t="str">
        <f>HYPERLINK("と/とう　痘瘡　1792　鍼法要集　源長起_ページ_3.jpg")</f>
        <v>と/とう　痘瘡　1792　鍼法要集　源長起_ページ_3.jpg</v>
      </c>
    </row>
    <row r="4355" spans="1:2" x14ac:dyDescent="0.15">
      <c r="A4355" t="s">
        <v>4328</v>
      </c>
      <c r="B4355" t="str">
        <f>HYPERLINK("と/とう　痘瘡　いもの事　1694　療治之大概集　杉山和一.jpg")</f>
        <v>と/とう　痘瘡　いもの事　1694　療治之大概集　杉山和一.jpg</v>
      </c>
    </row>
    <row r="4356" spans="1:2" x14ac:dyDescent="0.15">
      <c r="A4356" t="s">
        <v>4329</v>
      </c>
      <c r="B4356" t="str">
        <f>HYPERLINK("と/とう　痘瘡（小児）　1767　鍼灸則　菅沼周桂_ページ_1.jpg")</f>
        <v>と/とう　痘瘡（小児）　1767　鍼灸則　菅沼周桂_ページ_1.jpg</v>
      </c>
    </row>
    <row r="4357" spans="1:2" x14ac:dyDescent="0.15">
      <c r="A4357" t="s">
        <v>4330</v>
      </c>
      <c r="B4357" t="str">
        <f>HYPERLINK("と/とう　痘瘡（小児）　1767　鍼灸則　菅沼周桂_ページ_2.jpg")</f>
        <v>と/とう　痘瘡（小児）　1767　鍼灸則　菅沼周桂_ページ_2.jpg</v>
      </c>
    </row>
    <row r="4358" spans="1:2" x14ac:dyDescent="0.15">
      <c r="A4358" t="s">
        <v>4331</v>
      </c>
      <c r="B4358" t="str">
        <f>HYPERLINK("と/とう　盗汗　1329　扁鵲神応鍼灸玉龍経　元・王国瑞_ページ_1.jpg")</f>
        <v>と/とう　盗汗　1329　扁鵲神応鍼灸玉龍経　元・王国瑞_ページ_1.jpg</v>
      </c>
    </row>
    <row r="4359" spans="1:2" x14ac:dyDescent="0.15">
      <c r="A4359" t="s">
        <v>4332</v>
      </c>
      <c r="B4359" t="str">
        <f>HYPERLINK("と/とう　盗汗　1329　扁鵲神応鍼灸玉龍経　元・王国瑞_ページ_2.jpg")</f>
        <v>と/とう　盗汗　1329　扁鵲神応鍼灸玉龍経　元・王国瑞_ページ_2.jpg</v>
      </c>
    </row>
    <row r="4360" spans="1:2" x14ac:dyDescent="0.15">
      <c r="A4360" t="s">
        <v>4333</v>
      </c>
      <c r="B4360" t="str">
        <f>HYPERLINK("と/とう　盗汗　1694　選鍼三要集　杉山和一.jpg")</f>
        <v>と/とう　盗汗　1694　選鍼三要集　杉山和一.jpg</v>
      </c>
    </row>
    <row r="4361" spans="1:2" x14ac:dyDescent="0.15">
      <c r="A4361" t="s">
        <v>4334</v>
      </c>
      <c r="B4361" t="str">
        <f>HYPERLINK("と/とう　盗汗　1767　鍼灸則　菅沼周桂.jpg")</f>
        <v>と/とう　盗汗　1767　鍼灸則　菅沼周桂.jpg</v>
      </c>
    </row>
    <row r="4362" spans="1:2" x14ac:dyDescent="0.15">
      <c r="A4362" t="s">
        <v>4335</v>
      </c>
      <c r="B4362" t="str">
        <f>HYPERLINK("と/とう　盗汗　ねあせいづる人　1780　鍼灸極秘伝　木村太沖.jpg")</f>
        <v>と/とう　盗汗　ねあせいづる人　1780　鍼灸極秘伝　木村太沖.jpg</v>
      </c>
    </row>
    <row r="4363" spans="1:2" x14ac:dyDescent="0.15">
      <c r="A4363" t="s">
        <v>4336</v>
      </c>
      <c r="B4363" t="str">
        <f>HYPERLINK("と/とう　頭風面腫，項強不得廻顧　1315　鍼経摘英集　元・杜思敬「済生抜粋方」.jpg")</f>
        <v>と/とう　頭風面腫，項強不得廻顧　1315　鍼経摘英集　元・杜思敬「済生抜粋方」.jpg</v>
      </c>
    </row>
    <row r="4364" spans="1:2" x14ac:dyDescent="0.15">
      <c r="A4364" t="s">
        <v>4337</v>
      </c>
      <c r="B4364" t="str">
        <f>HYPERLINK("と/とく　とく瘡　しらくほ　1686　鍼灸要法指南　岩田利斎.jpg")</f>
        <v>と/とく　とく瘡　しらくほ　1686　鍼灸要法指南　岩田利斎.jpg</v>
      </c>
    </row>
    <row r="4365" spans="1:2" x14ac:dyDescent="0.15">
      <c r="A4365" t="s">
        <v>4338</v>
      </c>
      <c r="B4365" t="str">
        <f>HYPERLINK("と/とり　省目　日暮れかたより目のみえぬもの　1780　鍼灸極秘伝　木村太沖.jpg")</f>
        <v>と/とり　省目　日暮れかたより目のみえぬもの　1780　鍼灸極秘伝　木村太沖.jpg</v>
      </c>
    </row>
    <row r="4366" spans="1:2" x14ac:dyDescent="0.15">
      <c r="A4366" t="s">
        <v>4339</v>
      </c>
      <c r="B4366" t="str">
        <f>HYPERLINK("と/とり　雀目妙灸　1594　経脈方寸秘書　曲直瀬道三.jpg")</f>
        <v>と/とり　雀目妙灸　1594　経脈方寸秘書　曲直瀬道三.jpg</v>
      </c>
    </row>
    <row r="4367" spans="1:2" x14ac:dyDescent="0.15">
      <c r="A4367" t="s">
        <v>4340</v>
      </c>
      <c r="B4367" t="str">
        <f>HYPERLINK("と/とん　頓死　1686　鍼灸要法指南　岩田利斎.jpg")</f>
        <v>と/とん　頓死　1686　鍼灸要法指南　岩田利斎.jpg</v>
      </c>
    </row>
    <row r="4368" spans="1:2" x14ac:dyDescent="0.15">
      <c r="A4368" t="s">
        <v>4341</v>
      </c>
      <c r="B4368" t="str">
        <f>HYPERLINK("と/とん　頓死　1693　鍼灸要歌集　安井昌玄.jpg")</f>
        <v>と/とん　頓死　1693　鍼灸要歌集　安井昌玄.jpg</v>
      </c>
    </row>
    <row r="4369" spans="1:2" x14ac:dyDescent="0.15">
      <c r="A4369" t="s">
        <v>4342</v>
      </c>
      <c r="B4369" t="str">
        <f>HYPERLINK("と/とん　頓死　1773　鍼灸手引草　大簡室主人_ページ_1.jpg")</f>
        <v>と/とん　頓死　1773　鍼灸手引草　大簡室主人_ページ_1.jpg</v>
      </c>
    </row>
    <row r="4370" spans="1:2" x14ac:dyDescent="0.15">
      <c r="A4370" t="s">
        <v>4343</v>
      </c>
      <c r="B4370" t="str">
        <f>HYPERLINK("と/とん　頓死　1773　鍼灸手引草　大簡室主人_ページ_2.jpg")</f>
        <v>と/とん　頓死　1773　鍼灸手引草　大簡室主人_ページ_2.jpg</v>
      </c>
    </row>
    <row r="4371" spans="1:2" x14ac:dyDescent="0.15">
      <c r="A4371" t="s">
        <v>4344</v>
      </c>
      <c r="B4371" t="str">
        <f>HYPERLINK("と/とん　頓死　にはかにしする　1718　鍼灸重宝記　本郷正豊_ページ_1.jpg")</f>
        <v>と/とん　頓死　にはかにしする　1718　鍼灸重宝記　本郷正豊_ページ_1.jpg</v>
      </c>
    </row>
    <row r="4372" spans="1:2" x14ac:dyDescent="0.15">
      <c r="A4372" t="s">
        <v>4345</v>
      </c>
      <c r="B4372" t="str">
        <f>HYPERLINK("と/とん　頓死　にはかにしする　1718　鍼灸重宝記　本郷正豊_ページ_2.jpg")</f>
        <v>と/とん　頓死　にはかにしする　1718　鍼灸重宝記　本郷正豊_ページ_2.jpg</v>
      </c>
    </row>
    <row r="4373" spans="1:2" x14ac:dyDescent="0.15">
      <c r="A4373" t="s">
        <v>4346</v>
      </c>
      <c r="B4373" t="str">
        <f>HYPERLINK("ど/ど　妬（ど）乳　ちぶ　乳房炎　1887（明治20）　鍼灸備要　青山道醇.jpg")</f>
        <v>ど/ど　妬（ど）乳　ちぶ　乳房炎　1887（明治20）　鍼灸備要　青山道醇.jpg</v>
      </c>
    </row>
    <row r="4374" spans="1:2" x14ac:dyDescent="0.15">
      <c r="A4374" t="s">
        <v>4347</v>
      </c>
      <c r="B4374" t="str">
        <f>HYPERLINK("ど/ど　怒　1686　好怒（このんでいかる）　鍼灸要法指南　岩田利斎.jpg")</f>
        <v>ど/ど　怒　1686　好怒（このんでいかる）　鍼灸要法指南　岩田利斎.jpg</v>
      </c>
    </row>
    <row r="4375" spans="1:2" x14ac:dyDescent="0.15">
      <c r="A4375" t="s">
        <v>4348</v>
      </c>
      <c r="B4375" t="str">
        <f>HYPERLINK("ど/どく　諸毒傷　1624　類経図翼　明・張介賓_ページ_1.jpg")</f>
        <v>ど/どく　諸毒傷　1624　類経図翼　明・張介賓_ページ_1.jpg</v>
      </c>
    </row>
    <row r="4376" spans="1:2" x14ac:dyDescent="0.15">
      <c r="A4376" t="s">
        <v>4349</v>
      </c>
      <c r="B4376" t="str">
        <f>HYPERLINK("ど/どく　諸毒傷　1624　類経図翼　明・張介賓_ページ_2.jpg")</f>
        <v>ど/どく　諸毒傷　1624　類経図翼　明・張介賓_ページ_2.jpg</v>
      </c>
    </row>
    <row r="4377" spans="1:2" x14ac:dyDescent="0.15">
      <c r="A4377" t="s">
        <v>4350</v>
      </c>
      <c r="B4377" t="str">
        <f>HYPERLINK("ど/どく　諸毒傷　1624　類経図翼　明・張介賓_ページ_3.jpg")</f>
        <v>ど/どく　諸毒傷　1624　類経図翼　明・張介賓_ページ_3.jpg</v>
      </c>
    </row>
    <row r="4378" spans="1:2" x14ac:dyDescent="0.15">
      <c r="A4378" t="s">
        <v>4351</v>
      </c>
      <c r="B4378" t="str">
        <f>HYPERLINK("ど/どん　呑酸　1686　鍼灸要法指南　岩田利斎.jpg")</f>
        <v>ど/どん　呑酸　1686　鍼灸要法指南　岩田利斎.jpg</v>
      </c>
    </row>
    <row r="4379" spans="1:2" x14ac:dyDescent="0.15">
      <c r="A4379" t="s">
        <v>4352</v>
      </c>
      <c r="B4379" t="str">
        <f>HYPERLINK("ど/どん　呑酸　停飲　1669　鍼灸枢要　山本玄通_ページ_1.jpg")</f>
        <v>ど/どん　呑酸　停飲　1669　鍼灸枢要　山本玄通_ページ_1.jpg</v>
      </c>
    </row>
    <row r="4380" spans="1:2" x14ac:dyDescent="0.15">
      <c r="A4380" t="s">
        <v>4353</v>
      </c>
      <c r="B4380" t="str">
        <f>HYPERLINK("ど/どん　呑酸　停飲　1669　鍼灸枢要　山本玄通_ページ_2.jpg")</f>
        <v>ど/どん　呑酸　停飲　1669　鍼灸枢要　山本玄通_ページ_2.jpg</v>
      </c>
    </row>
    <row r="4381" spans="1:2" x14ac:dyDescent="0.15">
      <c r="A4381" t="s">
        <v>4354</v>
      </c>
      <c r="B4381" t="str">
        <f>HYPERLINK("ど/どん　呑酸　停飲　1669　鍼灸枢要　山本玄通_ページ_3.jpg")</f>
        <v>ど/どん　呑酸　停飲　1669　鍼灸枢要　山本玄通_ページ_3.jpg</v>
      </c>
    </row>
    <row r="4382" spans="1:2" x14ac:dyDescent="0.15">
      <c r="A4382" t="s">
        <v>4355</v>
      </c>
      <c r="B4382" t="str">
        <f>HYPERLINK("ど/どん　呑酸　停飲　1800　鍼灸備要　小坂元祐.jpg")</f>
        <v>ど/どん　呑酸　停飲　1800　鍼灸備要　小坂元祐.jpg</v>
      </c>
    </row>
    <row r="4383" spans="1:2" x14ac:dyDescent="0.15">
      <c r="A4383" t="s">
        <v>4356</v>
      </c>
      <c r="B4383" t="str">
        <f>HYPERLINK("ど/どん　呑酸　反胃　膈噎　1807　続名家灸選　平井庸信.jpg")</f>
        <v>ど/どん　呑酸　反胃　膈噎　1807　続名家灸選　平井庸信.jpg</v>
      </c>
    </row>
    <row r="4384" spans="1:2" x14ac:dyDescent="0.15">
      <c r="A4384" t="s">
        <v>4357</v>
      </c>
      <c r="B4384" t="str">
        <f>HYPERLINK("ど/どん　呑酸　吐酸　1767　鍼灸則　菅沼周桂_ページ_1.jpg")</f>
        <v>ど/どん　呑酸　吐酸　1767　鍼灸則　菅沼周桂_ページ_1.jpg</v>
      </c>
    </row>
    <row r="4385" spans="1:2" x14ac:dyDescent="0.15">
      <c r="A4385" t="s">
        <v>4358</v>
      </c>
      <c r="B4385" t="str">
        <f>HYPERLINK("ど/どん　呑酸　吐酸　1767　鍼灸則　菅沼周桂_ページ_2.jpg")</f>
        <v>ど/どん　呑酸　吐酸　1767　鍼灸則　菅沼周桂_ページ_2.jpg</v>
      </c>
    </row>
    <row r="4386" spans="1:2" x14ac:dyDescent="0.15">
      <c r="A4386" t="s">
        <v>4359</v>
      </c>
      <c r="B4386" t="str">
        <f>HYPERLINK("ど/どん　呑酸刺心　むねのやく人　1780　鍼灸極秘伝　木村太沖.jpg")</f>
        <v>ど/どん　呑酸刺心　むねのやく人　1780　鍼灸極秘伝　木村太沖.jpg</v>
      </c>
    </row>
    <row r="4387" spans="1:2" x14ac:dyDescent="0.15">
      <c r="A4387" t="s">
        <v>4360</v>
      </c>
      <c r="B4387" t="str">
        <f>HYPERLINK("ど/どん　呑酸吐酸停飲　1794　杉山流鍼術　島浦和田一.jpg")</f>
        <v>ど/どん　呑酸吐酸停飲　1794　杉山流鍼術　島浦和田一.jpg</v>
      </c>
    </row>
    <row r="4388" spans="1:2" x14ac:dyDescent="0.15">
      <c r="A4388" t="s">
        <v>4361</v>
      </c>
      <c r="B4388" t="str">
        <f>HYPERLINK("ど/どん　呑酸悪心　1563　鍼灸集要　曲直瀬道三.jpg")</f>
        <v>ど/どん　呑酸悪心　1563　鍼灸集要　曲直瀬道三.jpg</v>
      </c>
    </row>
    <row r="4389" spans="1:2" x14ac:dyDescent="0.15">
      <c r="A4389" t="s">
        <v>4362</v>
      </c>
      <c r="B4389" t="str">
        <f>HYPERLINK("ど/どん　嘔吐　膈噎　反胃　呑酸　1792　鍼法要集　源長起_ページ_1.jpg")</f>
        <v>ど/どん　嘔吐　膈噎　反胃　呑酸　1792　鍼法要集　源長起_ページ_1.jpg</v>
      </c>
    </row>
    <row r="4390" spans="1:2" x14ac:dyDescent="0.15">
      <c r="A4390" t="s">
        <v>4363</v>
      </c>
      <c r="B4390" t="str">
        <f>HYPERLINK("ど/どん　嘔吐　膈噎　反胃　呑酸　1792　鍼法要集　源長起_ページ_2.jpg")</f>
        <v>ど/どん　嘔吐　膈噎　反胃　呑酸　1792　鍼法要集　源長起_ページ_2.jpg</v>
      </c>
    </row>
    <row r="4391" spans="1:2" x14ac:dyDescent="0.15">
      <c r="A4391" t="s">
        <v>4364</v>
      </c>
      <c r="B4391" t="str">
        <f>HYPERLINK("ど/どん　嘔吐　膈噎　反胃　呑酸　1792　鍼法要集　源長起_ページ_3.jpg")</f>
        <v>ど/どん　嘔吐　膈噎　反胃　呑酸　1792　鍼法要集　源長起_ページ_3.jpg</v>
      </c>
    </row>
    <row r="4392" spans="1:2" x14ac:dyDescent="0.15">
      <c r="A4392" t="s">
        <v>4365</v>
      </c>
      <c r="B4392" t="str">
        <f>HYPERLINK("な/ない　内下疳、茎中痛　ウミ出るなりりんびょうとはちがふなり　1780　鍼灸極秘伝　木村太沖.jpg")</f>
        <v>な/ない　内下疳、茎中痛　ウミ出るなりりんびょうとはちがふなり　1780　鍼灸極秘伝　木村太沖.jpg</v>
      </c>
    </row>
    <row r="4393" spans="1:2" x14ac:dyDescent="0.15">
      <c r="A4393" t="s">
        <v>4366</v>
      </c>
      <c r="B4393" t="str">
        <f>HYPERLINK("な/ない　内傷　1669　鍼灸枢要　山本玄通_ページ_1.jpg")</f>
        <v>な/ない　内傷　1669　鍼灸枢要　山本玄通_ページ_1.jpg</v>
      </c>
    </row>
    <row r="4394" spans="1:2" x14ac:dyDescent="0.15">
      <c r="A4394" t="s">
        <v>4367</v>
      </c>
      <c r="B4394" t="str">
        <f>HYPERLINK("な/ない　内傷　1669　鍼灸枢要　山本玄通_ページ_2.jpg")</f>
        <v>な/ない　内傷　1669　鍼灸枢要　山本玄通_ページ_2.jpg</v>
      </c>
    </row>
    <row r="4395" spans="1:2" x14ac:dyDescent="0.15">
      <c r="A4395" t="s">
        <v>4368</v>
      </c>
      <c r="B4395" t="str">
        <f>HYPERLINK("な/ない　内傷　1669　鍼灸枢要　山本玄通_ページ_3.jpg")</f>
        <v>な/ない　内傷　1669　鍼灸枢要　山本玄通_ページ_3.jpg</v>
      </c>
    </row>
    <row r="4396" spans="1:2" x14ac:dyDescent="0.15">
      <c r="A4396" t="s">
        <v>4369</v>
      </c>
      <c r="B4396" t="str">
        <f>HYPERLINK("な/ない　内傷　1669　鍼灸枢要　山本玄通_ページ_4.jpg")</f>
        <v>な/ない　内傷　1669　鍼灸枢要　山本玄通_ページ_4.jpg</v>
      </c>
    </row>
    <row r="4397" spans="1:2" x14ac:dyDescent="0.15">
      <c r="A4397" t="s">
        <v>4370</v>
      </c>
      <c r="B4397" t="str">
        <f>HYPERLINK("な/ない　内傷　1686　鍼灸要法指南　岩田利斎.jpg")</f>
        <v>な/ない　内傷　1686　鍼灸要法指南　岩田利斎.jpg</v>
      </c>
    </row>
    <row r="4398" spans="1:2" x14ac:dyDescent="0.15">
      <c r="A4398" t="s">
        <v>4371</v>
      </c>
      <c r="B4398" t="str">
        <f>HYPERLINK("な/ない　内傷　1693　鍼灸要歌集　安井昌玄.jpg")</f>
        <v>な/ない　内傷　1693　鍼灸要歌集　安井昌玄.jpg</v>
      </c>
    </row>
    <row r="4399" spans="1:2" x14ac:dyDescent="0.15">
      <c r="A4399" t="s">
        <v>4372</v>
      </c>
      <c r="B4399" t="str">
        <f>HYPERLINK("な/ない　内傷　1767　鍼灸則　菅沼周桂.jpg")</f>
        <v>な/ない　内傷　1767　鍼灸則　菅沼周桂.jpg</v>
      </c>
    </row>
    <row r="4400" spans="1:2" x14ac:dyDescent="0.15">
      <c r="A4400" t="s">
        <v>4373</v>
      </c>
      <c r="B4400" t="str">
        <f>HYPERLINK("な/ない　内傷　1792　鍼法要集　源長起_ページ_1.jpg")</f>
        <v>な/ない　内傷　1792　鍼法要集　源長起_ページ_1.jpg</v>
      </c>
    </row>
    <row r="4401" spans="1:2" x14ac:dyDescent="0.15">
      <c r="A4401" t="s">
        <v>4374</v>
      </c>
      <c r="B4401" t="str">
        <f>HYPERLINK("な/ない　内傷　1792　鍼法要集　源長起_ページ_2.jpg")</f>
        <v>な/ない　内傷　1792　鍼法要集　源長起_ページ_2.jpg</v>
      </c>
    </row>
    <row r="4402" spans="1:2" x14ac:dyDescent="0.15">
      <c r="A4402" t="s">
        <v>4375</v>
      </c>
      <c r="B4402" t="str">
        <f>HYPERLINK("な/ない　内熱　1785　鍼書　本城義軒_ページ_1.jpg")</f>
        <v>な/ない　内熱　1785　鍼書　本城義軒_ページ_1.jpg</v>
      </c>
    </row>
    <row r="4403" spans="1:2" x14ac:dyDescent="0.15">
      <c r="A4403" t="s">
        <v>4376</v>
      </c>
      <c r="B4403" t="str">
        <f>HYPERLINK("な/ない　内熱　1785　鍼書　本城義軒_ページ_2.jpg")</f>
        <v>な/ない　内熱　1785　鍼書　本城義軒_ページ_2.jpg</v>
      </c>
    </row>
    <row r="4404" spans="1:2" x14ac:dyDescent="0.15">
      <c r="A4404" t="s">
        <v>4377</v>
      </c>
      <c r="B4404" t="str">
        <f>HYPERLINK("な/ない　内障　そこひ　1765　鍼法弁惑　藤井秀孟.jpg")</f>
        <v>な/ない　内障　そこひ　1765　鍼法弁惑　藤井秀孟.jpg</v>
      </c>
    </row>
    <row r="4405" spans="1:2" x14ac:dyDescent="0.15">
      <c r="A4405" t="s">
        <v>4378</v>
      </c>
      <c r="B4405" t="str">
        <f>HYPERLINK("な/なん　なんかん　1624　類経図翼　明・張介賓.jpg")</f>
        <v>な/なん　なんかん　1624　類経図翼　明・張介賓.jpg</v>
      </c>
    </row>
    <row r="4406" spans="1:2" x14ac:dyDescent="0.15">
      <c r="A4406" t="s">
        <v>4379</v>
      </c>
      <c r="B4406" t="str">
        <f>HYPERLINK("な/なん　なんかん　1694　選鍼三要集　杉山和一.jpg")</f>
        <v>な/なん　なんかん　1694　選鍼三要集　杉山和一.jpg</v>
      </c>
    </row>
    <row r="4407" spans="1:2" x14ac:dyDescent="0.15">
      <c r="A4407" t="s">
        <v>4380</v>
      </c>
      <c r="B4407" t="str">
        <f>HYPERLINK("な/なん　産難横生　1624　類経図翼　明・張介賓.jpg")</f>
        <v>な/なん　産難横生　1624　類経図翼　明・張介賓.jpg</v>
      </c>
    </row>
    <row r="4408" spans="1:2" x14ac:dyDescent="0.15">
      <c r="A4408" t="s">
        <v>4381</v>
      </c>
      <c r="B4408" t="str">
        <f>HYPERLINK("な/なん　諸難産　1794　杉山流鍼術　島浦和田一.jpg")</f>
        <v>な/なん　諸難産　1794　杉山流鍼術　島浦和田一.jpg</v>
      </c>
    </row>
    <row r="4409" spans="1:2" x14ac:dyDescent="0.15">
      <c r="A4409" t="s">
        <v>4382</v>
      </c>
      <c r="B4409" t="str">
        <f>HYPERLINK("な/なん　難産　1220　鍼灸資生経　王執中_ページ_1.jpg")</f>
        <v>な/なん　難産　1220　鍼灸資生経　王執中_ページ_1.jpg</v>
      </c>
    </row>
    <row r="4410" spans="1:2" x14ac:dyDescent="0.15">
      <c r="A4410" t="s">
        <v>4383</v>
      </c>
      <c r="B4410" t="str">
        <f>HYPERLINK("な/なん　難産　1220　鍼灸資生経　王執中_ページ_2.jpg")</f>
        <v>な/なん　難産　1220　鍼灸資生経　王執中_ページ_2.jpg</v>
      </c>
    </row>
    <row r="4411" spans="1:2" x14ac:dyDescent="0.15">
      <c r="A4411" t="s">
        <v>4384</v>
      </c>
      <c r="B4411" t="str">
        <f>HYPERLINK("な/なん　難産　1224　医説　宋・張杲.jpg")</f>
        <v>な/なん　難産　1224　医説　宋・張杲.jpg</v>
      </c>
    </row>
    <row r="4412" spans="1:2" x14ac:dyDescent="0.15">
      <c r="A4412" t="s">
        <v>4385</v>
      </c>
      <c r="B4412" t="str">
        <f>HYPERLINK("な/なん　難産　1563　鍼灸集要　曲直瀬道三.jpg")</f>
        <v>な/なん　難産　1563　鍼灸集要　曲直瀬道三.jpg</v>
      </c>
    </row>
    <row r="4413" spans="1:2" x14ac:dyDescent="0.15">
      <c r="A4413" t="s">
        <v>4386</v>
      </c>
      <c r="B4413" t="str">
        <f>HYPERLINK("な/なん　難産　1607　扁鵲新流鍼書　越齋寿閑.jpg")</f>
        <v>な/なん　難産　1607　扁鵲新流鍼書　越齋寿閑.jpg</v>
      </c>
    </row>
    <row r="4414" spans="1:2" x14ac:dyDescent="0.15">
      <c r="A4414" t="s">
        <v>4387</v>
      </c>
      <c r="B4414" t="str">
        <f>HYPERLINK("な/なん　難産　1686　鍼灸要法指南　岩田利斎_ページ_1.jpg")</f>
        <v>な/なん　難産　1686　鍼灸要法指南　岩田利斎_ページ_1.jpg</v>
      </c>
    </row>
    <row r="4415" spans="1:2" x14ac:dyDescent="0.15">
      <c r="A4415" t="s">
        <v>4388</v>
      </c>
      <c r="B4415" t="str">
        <f>HYPERLINK("な/なん　難産　1686　鍼灸要法指南　岩田利斎_ページ_2.jpg")</f>
        <v>な/なん　難産　1686　鍼灸要法指南　岩田利斎_ページ_2.jpg</v>
      </c>
    </row>
    <row r="4416" spans="1:2" x14ac:dyDescent="0.15">
      <c r="A4416" t="s">
        <v>4389</v>
      </c>
      <c r="B4416" t="str">
        <f>HYPERLINK("な/なん　難産　1693　鍼灸要歌集　安井昌玄_ページ_1.jpg")</f>
        <v>な/なん　難産　1693　鍼灸要歌集　安井昌玄_ページ_1.jpg</v>
      </c>
    </row>
    <row r="4417" spans="1:2" x14ac:dyDescent="0.15">
      <c r="A4417" t="s">
        <v>4390</v>
      </c>
      <c r="B4417" t="str">
        <f>HYPERLINK("な/なん　難産　1693　鍼灸要歌集　安井昌玄_ページ_2.jpg")</f>
        <v>な/なん　難産　1693　鍼灸要歌集　安井昌玄_ページ_2.jpg</v>
      </c>
    </row>
    <row r="4418" spans="1:2" x14ac:dyDescent="0.15">
      <c r="A4418" t="s">
        <v>4391</v>
      </c>
      <c r="B4418" t="str">
        <f>HYPERLINK("な/なん　難産　1693　鍼灸要歌集　安井昌玄_ページ_3.jpg")</f>
        <v>な/なん　難産　1693　鍼灸要歌集　安井昌玄_ページ_3.jpg</v>
      </c>
    </row>
    <row r="4419" spans="1:2" x14ac:dyDescent="0.15">
      <c r="A4419" t="s">
        <v>4392</v>
      </c>
      <c r="B4419" t="str">
        <f>HYPERLINK("な/なん　難産　1765　鍼法弁惑　藤井秀孟.jpg")</f>
        <v>な/なん　難産　1765　鍼法弁惑　藤井秀孟.jpg</v>
      </c>
    </row>
    <row r="4420" spans="1:2" x14ac:dyDescent="0.15">
      <c r="A4420" t="s">
        <v>4393</v>
      </c>
      <c r="B4420" t="str">
        <f>HYPERLINK("な/なん　難産　1767　鍼灸則　菅沼周桂.jpg")</f>
        <v>な/なん　難産　1767　鍼灸則　菅沼周桂.jpg</v>
      </c>
    </row>
    <row r="4421" spans="1:2" x14ac:dyDescent="0.15">
      <c r="A4421" t="s">
        <v>4394</v>
      </c>
      <c r="B4421" t="str">
        <f>HYPERLINK("な/なん　難産　1794　杉山流鍼術　島浦和田一.jpg")</f>
        <v>な/なん　難産　1794　杉山流鍼術　島浦和田一.jpg</v>
      </c>
    </row>
    <row r="4422" spans="1:2" x14ac:dyDescent="0.15">
      <c r="A4422" t="s">
        <v>4395</v>
      </c>
      <c r="B4422" t="str">
        <f>HYPERLINK("な/なん　難産　なんざん甚だ妙なり必ずすくうべし　1780　鍼灸極秘伝　木村太沖.jpg")</f>
        <v>な/なん　難産　なんざん甚だ妙なり必ずすくうべし　1780　鍼灸極秘伝　木村太沖.jpg</v>
      </c>
    </row>
    <row r="4423" spans="1:2" x14ac:dyDescent="0.15">
      <c r="A4423" t="s">
        <v>4396</v>
      </c>
      <c r="B4423" t="str">
        <f>HYPERLINK("な/なん　難産　また方　是を陽龍の伝という人をすくう事たびたびなり、必ずすくうべし　1780　鍼灸極秘伝　木村太沖.jpg")</f>
        <v>な/なん　難産　また方　是を陽龍の伝という人をすくう事たびたびなり、必ずすくうべし　1780　鍼灸極秘伝　木村太沖.jpg</v>
      </c>
    </row>
    <row r="4424" spans="1:2" x14ac:dyDescent="0.15">
      <c r="A4424" t="s">
        <v>4397</v>
      </c>
      <c r="B4424" t="str">
        <f>HYPERLINK("な/なん　難産　むつかしきさん　難産　1887（明治20）　鍼灸備要　青山道醇.jpg")</f>
        <v>な/なん　難産　むつかしきさん　難産　1887（明治20）　鍼灸備要　青山道醇.jpg</v>
      </c>
    </row>
    <row r="4425" spans="1:2" x14ac:dyDescent="0.15">
      <c r="A4425" t="s">
        <v>4398</v>
      </c>
      <c r="B4425" t="str">
        <f>HYPERLINK("な/なん　難産　産後　1669　鍼灸枢要　山本玄通_ページ_1.jpg")</f>
        <v>な/なん　難産　産後　1669　鍼灸枢要　山本玄通_ページ_1.jpg</v>
      </c>
    </row>
    <row r="4426" spans="1:2" x14ac:dyDescent="0.15">
      <c r="A4426" t="s">
        <v>4399</v>
      </c>
      <c r="B4426" t="str">
        <f>HYPERLINK("な/なん　難産　産後　1669　鍼灸枢要　山本玄通_ページ_2.jpg")</f>
        <v>な/なん　難産　産後　1669　鍼灸枢要　山本玄通_ページ_2.jpg</v>
      </c>
    </row>
    <row r="4427" spans="1:2" x14ac:dyDescent="0.15">
      <c r="A4427" t="s">
        <v>4400</v>
      </c>
      <c r="B4427" t="str">
        <f>HYPERLINK("な/なん　難産　産後　1669　鍼灸枢要　山本玄通_ページ_3.jpg")</f>
        <v>な/なん　難産　産後　1669　鍼灸枢要　山本玄通_ページ_3.jpg</v>
      </c>
    </row>
    <row r="4428" spans="1:2" x14ac:dyDescent="0.15">
      <c r="A4428" t="s">
        <v>4401</v>
      </c>
      <c r="B4428" t="str">
        <f>HYPERLINK("な/なん　難産　産後　1669　鍼灸枢要　山本玄通_ページ_4.jpg")</f>
        <v>な/なん　難産　産後　1669　鍼灸枢要　山本玄通_ページ_4.jpg</v>
      </c>
    </row>
    <row r="4429" spans="1:2" x14ac:dyDescent="0.15">
      <c r="A4429" t="s">
        <v>4402</v>
      </c>
      <c r="B4429" t="str">
        <f>HYPERLINK("な/なん　難産　産後　1669　鍼灸枢要　山本玄通_ページ_5.jpg")</f>
        <v>な/なん　難産　産後　1669　鍼灸枢要　山本玄通_ページ_5.jpg</v>
      </c>
    </row>
    <row r="4430" spans="1:2" x14ac:dyDescent="0.15">
      <c r="A4430" t="s">
        <v>4403</v>
      </c>
      <c r="B4430" t="str">
        <f>HYPERLINK("な/なん　難産　産後　1669　鍼灸枢要　山本玄通_ページ_6.jpg")</f>
        <v>な/なん　難産　産後　1669　鍼灸枢要　山本玄通_ページ_6.jpg</v>
      </c>
    </row>
    <row r="4431" spans="1:2" x14ac:dyDescent="0.15">
      <c r="A4431" t="s">
        <v>4404</v>
      </c>
      <c r="B4431" t="str">
        <f>HYPERLINK("な/なん　難産　産後　1669　鍼灸枢要　山本玄通_ページ_7.jpg")</f>
        <v>な/なん　難産　産後　1669　鍼灸枢要　山本玄通_ページ_7.jpg</v>
      </c>
    </row>
    <row r="4432" spans="1:2" x14ac:dyDescent="0.15">
      <c r="A4432" t="s">
        <v>4405</v>
      </c>
      <c r="B4432" t="str">
        <f>HYPERLINK("な/なん　難産　産後　1800　鍼灸備要　小坂元祐_ページ_1.jpg")</f>
        <v>な/なん　難産　産後　1800　鍼灸備要　小坂元祐_ページ_1.jpg</v>
      </c>
    </row>
    <row r="4433" spans="1:2" x14ac:dyDescent="0.15">
      <c r="A4433" t="s">
        <v>4406</v>
      </c>
      <c r="B4433" t="str">
        <f>HYPERLINK("な/なん　難産　産後　1800　鍼灸備要　小坂元祐_ページ_2.jpg")</f>
        <v>な/なん　難産　産後　1800　鍼灸備要　小坂元祐_ページ_2.jpg</v>
      </c>
    </row>
    <row r="4434" spans="1:2" x14ac:dyDescent="0.15">
      <c r="A4434" t="s">
        <v>4407</v>
      </c>
      <c r="B4434" t="str">
        <f>HYPERLINK("な/なん　難産　産後　1800　鍼灸備要　小坂元祐_ページ_3.jpg")</f>
        <v>な/なん　難産　産後　1800　鍼灸備要　小坂元祐_ページ_3.jpg</v>
      </c>
    </row>
    <row r="4435" spans="1:2" x14ac:dyDescent="0.15">
      <c r="A4435" t="s">
        <v>4408</v>
      </c>
      <c r="B4435" t="str">
        <f>HYPERLINK("な/なん　難産　産後　1800　鍼灸備要　小坂元祐_ページ_4.jpg")</f>
        <v>な/なん　難産　産後　1800　鍼灸備要　小坂元祐_ページ_4.jpg</v>
      </c>
    </row>
    <row r="4436" spans="1:2" x14ac:dyDescent="0.15">
      <c r="A4436" t="s">
        <v>4409</v>
      </c>
      <c r="B4436" t="str">
        <f>HYPERLINK("な/なん　難産　産後　1800　鍼灸備要　小坂元祐_ページ_5.jpg")</f>
        <v>な/なん　難産　産後　1800　鍼灸備要　小坂元祐_ページ_5.jpg</v>
      </c>
    </row>
    <row r="4437" spans="1:2" x14ac:dyDescent="0.15">
      <c r="A4437" t="s">
        <v>4410</v>
      </c>
      <c r="B4437" t="str">
        <f>HYPERLINK("な/なん　難産の針　1912年（大正01）　鍼灸手引草　久木田七郎.jpg")</f>
        <v>な/なん　難産の針　1912年（大正01）　鍼灸手引草　久木田七郎.jpg</v>
      </c>
    </row>
    <row r="4438" spans="1:2" x14ac:dyDescent="0.15">
      <c r="A4438" t="s">
        <v>4411</v>
      </c>
      <c r="B4438" t="str">
        <f>HYPERLINK("に/に　二便不通　1686　鍼灸要法指南　岩田利斎.jpg")</f>
        <v>に/に　二便不通　1686　鍼灸要法指南　岩田利斎.jpg</v>
      </c>
    </row>
    <row r="4439" spans="1:2" x14ac:dyDescent="0.15">
      <c r="A4439" t="s">
        <v>4412</v>
      </c>
      <c r="B4439" t="str">
        <f>HYPERLINK("に/に　二便閉　1693　鍼灸要歌集　安井昌玄.jpg")</f>
        <v>に/に　二便閉　1693　鍼灸要歌集　安井昌玄.jpg</v>
      </c>
    </row>
    <row r="4440" spans="1:2" x14ac:dyDescent="0.15">
      <c r="A4440" t="s">
        <v>4413</v>
      </c>
      <c r="B4440" t="str">
        <f>HYPERLINK("に/に　二陰病　1624　類経図翼　明・張介賓_ページ_1.jpg")</f>
        <v>に/に　二陰病　1624　類経図翼　明・張介賓_ページ_1.jpg</v>
      </c>
    </row>
    <row r="4441" spans="1:2" x14ac:dyDescent="0.15">
      <c r="A4441" t="s">
        <v>4414</v>
      </c>
      <c r="B4441" t="str">
        <f>HYPERLINK("に/に　二陰病　1624　類経図翼　明・張介賓_ページ_2.jpg")</f>
        <v>に/に　二陰病　1624　類経図翼　明・張介賓_ページ_2.jpg</v>
      </c>
    </row>
    <row r="4442" spans="1:2" x14ac:dyDescent="0.15">
      <c r="A4442" t="s">
        <v>4415</v>
      </c>
      <c r="B4442" t="str">
        <f>HYPERLINK("に/に　二陰病　1624　類経図翼　明・張介賓_ページ_3.jpg")</f>
        <v>に/に　二陰病　1624　類経図翼　明・張介賓_ページ_3.jpg</v>
      </c>
    </row>
    <row r="4443" spans="1:2" x14ac:dyDescent="0.15">
      <c r="A4443" t="s">
        <v>4416</v>
      </c>
      <c r="B4443" t="str">
        <f>HYPERLINK("に/に　二陰病　1624　類経図翼　明・張介賓_ページ_4.jpg")</f>
        <v>に/に　二陰病　1624　類経図翼　明・張介賓_ページ_4.jpg</v>
      </c>
    </row>
    <row r="4444" spans="1:2" x14ac:dyDescent="0.15">
      <c r="A4444" t="s">
        <v>4417</v>
      </c>
      <c r="B4444" t="str">
        <f>HYPERLINK("に/に　二陰病　1624　類経図翼　明・張介賓_ページ_5.jpg")</f>
        <v>に/に　二陰病　1624　類経図翼　明・張介賓_ページ_5.jpg</v>
      </c>
    </row>
    <row r="4445" spans="1:2" x14ac:dyDescent="0.15">
      <c r="A4445" t="s">
        <v>4418</v>
      </c>
      <c r="B4445" t="str">
        <f>HYPERLINK("に/に　二陰病　1624　類経図翼　明・張介賓_ページ_6.jpg")</f>
        <v>に/に　二陰病　1624　類経図翼　明・張介賓_ページ_6.jpg</v>
      </c>
    </row>
    <row r="4446" spans="1:2" x14ac:dyDescent="0.15">
      <c r="A4446" t="s">
        <v>4419</v>
      </c>
      <c r="B4446" t="str">
        <f>HYPERLINK("に/に　二陰病　1624　類経図翼　明・張介賓_ページ_7.jpg")</f>
        <v>に/に　二陰病　1624　類経図翼　明・張介賓_ページ_7.jpg</v>
      </c>
    </row>
    <row r="4447" spans="1:2" x14ac:dyDescent="0.15">
      <c r="A4447" t="s">
        <v>4420</v>
      </c>
      <c r="B4447" t="str">
        <f>HYPERLINK("に/に　二陰病　1624　類経図翼　明・張介賓_ページ_8.jpg")</f>
        <v>に/に　二陰病　1624　類経図翼　明・張介賓_ページ_8.jpg</v>
      </c>
    </row>
    <row r="4448" spans="1:2" x14ac:dyDescent="0.15">
      <c r="A4448" t="s">
        <v>4421</v>
      </c>
      <c r="B4448" t="str">
        <f>HYPERLINK("に/に　二陰病　1761　挨穴捷径　杉原敦_ページ_1.jpg")</f>
        <v>に/に　二陰病　1761　挨穴捷径　杉原敦_ページ_1.jpg</v>
      </c>
    </row>
    <row r="4449" spans="1:2" x14ac:dyDescent="0.15">
      <c r="A4449" t="s">
        <v>4422</v>
      </c>
      <c r="B4449" t="str">
        <f>HYPERLINK("に/に　二陰病　1761　挨穴捷径　杉原敦_ページ_2.jpg")</f>
        <v>に/に　二陰病　1761　挨穴捷径　杉原敦_ページ_2.jpg</v>
      </c>
    </row>
    <row r="4450" spans="1:2" x14ac:dyDescent="0.15">
      <c r="A4450" t="s">
        <v>4423</v>
      </c>
      <c r="B4450" t="str">
        <f>HYPERLINK("に/に　二陰病　1761　挨穴捷径　杉原敦_ページ_3.jpg")</f>
        <v>に/に　二陰病　1761　挨穴捷径　杉原敦_ページ_3.jpg</v>
      </c>
    </row>
    <row r="4451" spans="1:2" x14ac:dyDescent="0.15">
      <c r="A4451" t="s">
        <v>4424</v>
      </c>
      <c r="B4451" t="str">
        <f>HYPERLINK("に/に　二陰病　1761　挨穴捷径　杉原敦_ページ_4.jpg")</f>
        <v>に/に　二陰病　1761　挨穴捷径　杉原敦_ページ_4.jpg</v>
      </c>
    </row>
    <row r="4452" spans="1:2" x14ac:dyDescent="0.15">
      <c r="A4452" t="s">
        <v>4425</v>
      </c>
      <c r="B4452" t="str">
        <f>HYPERLINK("に/に　二陰病　1761　挨穴捷径　杉原敦_ページ_5.jpg")</f>
        <v>に/に　二陰病　1761　挨穴捷径　杉原敦_ページ_5.jpg</v>
      </c>
    </row>
    <row r="4453" spans="1:2" x14ac:dyDescent="0.15">
      <c r="A4453" t="s">
        <v>4426</v>
      </c>
      <c r="B4453" t="str">
        <f>HYPERLINK("に/にち　日腫奇兪　1703　鍼灸阿是要穴　岡本一抱.jpg")</f>
        <v>に/にち　日腫奇兪　1703　鍼灸阿是要穴　岡本一抱.jpg</v>
      </c>
    </row>
    <row r="4454" spans="1:2" x14ac:dyDescent="0.15">
      <c r="A4454" t="s">
        <v>4427</v>
      </c>
      <c r="B4454" t="str">
        <f>HYPERLINK("に/にち　日腫奇兪　1758　灸ぜつ塩土伝　三宅意安.jpg")</f>
        <v>に/にち　日腫奇兪　1758　灸ぜつ塩土伝　三宅意安.jpg</v>
      </c>
    </row>
    <row r="4455" spans="1:2" x14ac:dyDescent="0.15">
      <c r="A4455" t="s">
        <v>4428</v>
      </c>
      <c r="B4455" t="str">
        <f>HYPERLINK("に/にち　日腫（にっしゅ）　はやけんへき、いきのならぬは即ち卒厥病なり甚だ大切の症なり一時半時の間に死するなり　1780　鍼灸極秘伝　木村太沖.jpg")</f>
        <v>に/にち　日腫（にっしゅ）　はやけんへき、いきのならぬは即ち卒厥病なり甚だ大切の症なり一時半時の間に死するなり　1780　鍼灸極秘伝　木村太沖.jpg</v>
      </c>
    </row>
    <row r="4456" spans="1:2" x14ac:dyDescent="0.15">
      <c r="A4456" t="s">
        <v>4429</v>
      </c>
      <c r="B4456" t="str">
        <f>HYPERLINK("に/にゅう　乳　1669　鍼灸枢要　山本玄通_ページ_1.jpg")</f>
        <v>に/にゅう　乳　1669　鍼灸枢要　山本玄通_ページ_1.jpg</v>
      </c>
    </row>
    <row r="4457" spans="1:2" x14ac:dyDescent="0.15">
      <c r="A4457" t="s">
        <v>4430</v>
      </c>
      <c r="B4457" t="str">
        <f>HYPERLINK("に/にゅう　乳　1669　鍼灸枢要　山本玄通_ページ_2.jpg")</f>
        <v>に/にゅう　乳　1669　鍼灸枢要　山本玄通_ページ_2.jpg</v>
      </c>
    </row>
    <row r="4458" spans="1:2" x14ac:dyDescent="0.15">
      <c r="A4458" t="s">
        <v>4431</v>
      </c>
      <c r="B4458" t="str">
        <f>HYPERLINK("に/にゅう　乳不呑　1693　鍼灸要歌集　安井昌玄_ページ_1.jpg")</f>
        <v>に/にゅう　乳不呑　1693　鍼灸要歌集　安井昌玄_ページ_1.jpg</v>
      </c>
    </row>
    <row r="4459" spans="1:2" x14ac:dyDescent="0.15">
      <c r="A4459" t="s">
        <v>4432</v>
      </c>
      <c r="B4459" t="str">
        <f>HYPERLINK("に/にゅう　乳不呑　1693　鍼灸要歌集　安井昌玄_ページ_2.jpg")</f>
        <v>に/にゅう　乳不呑　1693　鍼灸要歌集　安井昌玄_ページ_2.jpg</v>
      </c>
    </row>
    <row r="4460" spans="1:2" x14ac:dyDescent="0.15">
      <c r="A4460" t="s">
        <v>4433</v>
      </c>
      <c r="B4460" t="str">
        <f>HYPERLINK("に/にゅう　乳岩乳癰　1686　鍼灸要法指南　岩田利斎.jpg")</f>
        <v>に/にゅう　乳岩乳癰　1686　鍼灸要法指南　岩田利斎.jpg</v>
      </c>
    </row>
    <row r="4461" spans="1:2" x14ac:dyDescent="0.15">
      <c r="A4461" t="s">
        <v>4434</v>
      </c>
      <c r="B4461" t="str">
        <f>HYPERLINK("に/にゅう　乳汁不出　1686　鍼灸要法指南　岩田利斎.jpg")</f>
        <v>に/にゅう　乳汁不出　1686　鍼灸要法指南　岩田利斎.jpg</v>
      </c>
    </row>
    <row r="4462" spans="1:2" x14ac:dyDescent="0.15">
      <c r="A4462" t="s">
        <v>4435</v>
      </c>
      <c r="B4462" t="str">
        <f>HYPERLINK("に/にゅう　乳汁不出　1693　鍼灸要歌集　安井昌玄_ページ_1.jpg")</f>
        <v>に/にゅう　乳汁不出　1693　鍼灸要歌集　安井昌玄_ページ_1.jpg</v>
      </c>
    </row>
    <row r="4463" spans="1:2" x14ac:dyDescent="0.15">
      <c r="A4463" t="s">
        <v>4436</v>
      </c>
      <c r="B4463" t="str">
        <f>HYPERLINK("に/にゅう　乳汁不出　1693　鍼灸要歌集　安井昌玄_ページ_2.jpg")</f>
        <v>に/にゅう　乳汁不出　1693　鍼灸要歌集　安井昌玄_ページ_2.jpg</v>
      </c>
    </row>
    <row r="4464" spans="1:2" x14ac:dyDescent="0.15">
      <c r="A4464" t="s">
        <v>4437</v>
      </c>
      <c r="B4464" t="str">
        <f>HYPERLINK("に/にゅう　乳汁不通　成書年未詳　灸穴集　著者未詳.jpg")</f>
        <v>に/にゅう　乳汁不通　成書年未詳　灸穴集　著者未詳.jpg</v>
      </c>
    </row>
    <row r="4465" spans="1:2" x14ac:dyDescent="0.15">
      <c r="A4465" t="s">
        <v>4438</v>
      </c>
      <c r="B4465" t="str">
        <f>HYPERLINK("に/にゅう　乳病　1765　鍼法弁惑　藤井秀孟.jpg")</f>
        <v>に/にゅう　乳病　1765　鍼法弁惑　藤井秀孟.jpg</v>
      </c>
    </row>
    <row r="4466" spans="1:2" x14ac:dyDescent="0.15">
      <c r="A4466" t="s">
        <v>4439</v>
      </c>
      <c r="B4466" t="str">
        <f>HYPERLINK("に/にゅう　乳病　1765　鍼法弁惑　藤井秀孟_ページ_1.jpg")</f>
        <v>に/にゅう　乳病　1765　鍼法弁惑　藤井秀孟_ページ_1.jpg</v>
      </c>
    </row>
    <row r="4467" spans="1:2" x14ac:dyDescent="0.15">
      <c r="A4467" t="s">
        <v>4440</v>
      </c>
      <c r="B4467" t="str">
        <f>HYPERLINK("に/にゅう　乳病　1765　鍼法弁惑　藤井秀孟_ページ_2.jpg")</f>
        <v>に/にゅう　乳病　1765　鍼法弁惑　藤井秀孟_ページ_2.jpg</v>
      </c>
    </row>
    <row r="4468" spans="1:2" x14ac:dyDescent="0.15">
      <c r="A4468" t="s">
        <v>4441</v>
      </c>
      <c r="B4468" t="str">
        <f>HYPERLINK("に/にゅう　乳病　1813　名家灸選三編　平井庸信_ページ_1.jpg")</f>
        <v>に/にゅう　乳病　1813　名家灸選三編　平井庸信_ページ_1.jpg</v>
      </c>
    </row>
    <row r="4469" spans="1:2" x14ac:dyDescent="0.15">
      <c r="A4469" t="s">
        <v>4442</v>
      </c>
      <c r="B4469" t="str">
        <f>HYPERLINK("に/にゅう　乳病　1813　名家灸選三編　平井庸信_ページ_2.jpg")</f>
        <v>に/にゅう　乳病　1813　名家灸選三編　平井庸信_ページ_2.jpg</v>
      </c>
    </row>
    <row r="4470" spans="1:2" x14ac:dyDescent="0.15">
      <c r="A4470" t="s">
        <v>4443</v>
      </c>
      <c r="B4470" t="str">
        <f>HYPERLINK("に/にゅう　乳痛　1912年（大正01）　鍼灸手引草　久木田七郎.jpg")</f>
        <v>に/にゅう　乳痛　1912年（大正01）　鍼灸手引草　久木田七郎.jpg</v>
      </c>
    </row>
    <row r="4471" spans="1:2" x14ac:dyDescent="0.15">
      <c r="A4471" t="s">
        <v>4444</v>
      </c>
      <c r="B4471" t="str">
        <f>HYPERLINK("に/にゅう　乳痛　ちぶさのいたむやまひ　乳房神経痛　1887（明治20）　鍼灸備要　青山道醇.jpg")</f>
        <v>に/にゅう　乳痛　ちぶさのいたむやまひ　乳房神経痛　1887（明治20）　鍼灸備要　青山道醇.jpg</v>
      </c>
    </row>
    <row r="4472" spans="1:2" x14ac:dyDescent="0.15">
      <c r="A4472" t="s">
        <v>4445</v>
      </c>
      <c r="B4472" t="str">
        <f>HYPERLINK("に/にゅう　乳癌乳癰　1693　鍼灸要歌集　安井昌玄_ページ_1.jpg")</f>
        <v>に/にゅう　乳癌乳癰　1693　鍼灸要歌集　安井昌玄_ページ_1.jpg</v>
      </c>
    </row>
    <row r="4473" spans="1:2" x14ac:dyDescent="0.15">
      <c r="A4473" t="s">
        <v>4446</v>
      </c>
      <c r="B4473" t="str">
        <f>HYPERLINK("に/にゅう　乳癌乳癰　1693　鍼灸要歌集　安井昌玄_ページ_2.jpg")</f>
        <v>に/にゅう　乳癌乳癰　1693　鍼灸要歌集　安井昌玄_ページ_2.jpg</v>
      </c>
    </row>
    <row r="4474" spans="1:2" x14ac:dyDescent="0.15">
      <c r="A4474" t="s">
        <v>4447</v>
      </c>
      <c r="B4474" t="str">
        <f>HYPERLINK("に/にゅう　乳癰　1220　鍼灸資生経　王執中_ページ_1.jpg")</f>
        <v>に/にゅう　乳癰　1220　鍼灸資生経　王執中_ページ_1.jpg</v>
      </c>
    </row>
    <row r="4475" spans="1:2" x14ac:dyDescent="0.15">
      <c r="A4475" t="s">
        <v>4448</v>
      </c>
      <c r="B4475" t="str">
        <f>HYPERLINK("に/にゅう　乳癰　1220　鍼灸資生経　王執中_ページ_2.jpg")</f>
        <v>に/にゅう　乳癰　1220　鍼灸資生経　王執中_ページ_2.jpg</v>
      </c>
    </row>
    <row r="4476" spans="1:2" x14ac:dyDescent="0.15">
      <c r="A4476" t="s">
        <v>4449</v>
      </c>
      <c r="B4476" t="str">
        <f>HYPERLINK("に/にゅう　乳癰　1807　続名家灸選　平井庸信.jpg")</f>
        <v>に/にゅう　乳癰　1807　続名家灸選　平井庸信.jpg</v>
      </c>
    </row>
    <row r="4477" spans="1:2" x14ac:dyDescent="0.15">
      <c r="A4477" t="s">
        <v>4450</v>
      </c>
      <c r="B4477" t="str">
        <f>HYPERLINK("に/にゅう　乳癰　ちぶ　乳房膿腫　1887（明治20）　鍼灸備要　青山道醇.jpg")</f>
        <v>に/にゅう　乳癰　ちぶ　乳房膿腫　1887（明治20）　鍼灸備要　青山道醇.jpg</v>
      </c>
    </row>
    <row r="4478" spans="1:2" x14ac:dyDescent="0.15">
      <c r="A4478" t="s">
        <v>4451</v>
      </c>
      <c r="B4478" t="str">
        <f>HYPERLINK("に/にゅう　乳腫痛　1767　鍼灸則　菅沼周桂.jpg")</f>
        <v>に/にゅう　乳腫痛　1767　鍼灸則　菅沼周桂.jpg</v>
      </c>
    </row>
    <row r="4479" spans="1:2" x14ac:dyDescent="0.15">
      <c r="A4479" t="s">
        <v>4452</v>
      </c>
      <c r="B4479" t="str">
        <f>HYPERLINK("に/にゅう　乳腫痛　ちちのはれたる人　1780　鍼灸極秘伝　木村太沖.jpg")</f>
        <v>に/にゅう　乳腫痛　ちちのはれたる人　1780　鍼灸極秘伝　木村太沖.jpg</v>
      </c>
    </row>
    <row r="4480" spans="1:2" x14ac:dyDescent="0.15">
      <c r="A4480" t="s">
        <v>4453</v>
      </c>
      <c r="B4480" t="str">
        <f>HYPERLINK("に/にゅう　乳腫痛（乳少 吐だい）　1220　鍼灸資生経　王執中.jpg")</f>
        <v>に/にゅう　乳腫痛（乳少 吐だい）　1220　鍼灸資生経　王執中.jpg</v>
      </c>
    </row>
    <row r="4481" spans="1:2" x14ac:dyDescent="0.15">
      <c r="A4481" t="s">
        <v>4454</v>
      </c>
      <c r="B4481" t="str">
        <f>HYPERLINK("に/にゅう　乳閉　ちちのへるやまひ　乳少　1887（明治20）　鍼灸備要　青山道醇.jpg")</f>
        <v>に/にゅう　乳閉　ちちのへるやまひ　乳少　1887（明治20）　鍼灸備要　青山道醇.jpg</v>
      </c>
    </row>
    <row r="4482" spans="1:2" x14ac:dyDescent="0.15">
      <c r="A4482" t="s">
        <v>4455</v>
      </c>
      <c r="B4482" t="str">
        <f>HYPERLINK("に/にゅう　乳鵞　1329　扁鵲神応鍼灸玉龍経　元・王国瑞.jpg")</f>
        <v>に/にゅう　乳鵞　1329　扁鵲神応鍼灸玉龍経　元・王国瑞.jpg</v>
      </c>
    </row>
    <row r="4483" spans="1:2" x14ac:dyDescent="0.15">
      <c r="A4483" t="s">
        <v>4456</v>
      </c>
      <c r="B4483" t="str">
        <f>HYPERLINK("に/にょう　小児尿床-02　1758　灸ぜつ塩土伝　三宅意安_ページ_1.jpg")</f>
        <v>に/にょう　小児尿床-02　1758　灸ぜつ塩土伝　三宅意安_ページ_1.jpg</v>
      </c>
    </row>
    <row r="4484" spans="1:2" x14ac:dyDescent="0.15">
      <c r="A4484" t="s">
        <v>4457</v>
      </c>
      <c r="B4484" t="str">
        <f>HYPERLINK("に/にょう　小児尿床-02　1758　灸ぜつ塩土伝　三宅意安_ページ_2.jpg")</f>
        <v>に/にょう　小児尿床-02　1758　灸ぜつ塩土伝　三宅意安_ページ_2.jpg</v>
      </c>
    </row>
    <row r="4485" spans="1:2" x14ac:dyDescent="0.15">
      <c r="A4485" t="s">
        <v>4458</v>
      </c>
      <c r="B4485" t="str">
        <f>HYPERLINK("に/にょう　小児尿床　1758　灸ぜつ塩土伝　三宅意安_ページ_1.jpg")</f>
        <v>に/にょう　小児尿床　1758　灸ぜつ塩土伝　三宅意安_ページ_1.jpg</v>
      </c>
    </row>
    <row r="4486" spans="1:2" x14ac:dyDescent="0.15">
      <c r="A4486" t="s">
        <v>4459</v>
      </c>
      <c r="B4486" t="str">
        <f>HYPERLINK("に/にょう　小児尿床　1758　灸ぜつ塩土伝　三宅意安_ページ_2.jpg")</f>
        <v>に/にょう　小児尿床　1758　灸ぜつ塩土伝　三宅意安_ページ_2.jpg</v>
      </c>
    </row>
    <row r="4487" spans="1:2" x14ac:dyDescent="0.15">
      <c r="A4487" t="s">
        <v>4460</v>
      </c>
      <c r="B4487" t="str">
        <f>HYPERLINK("に/にょう　尿血　1624　類経図翼　明・張介賓_ページ_1.jpg")</f>
        <v>に/にょう　尿血　1624　類経図翼　明・張介賓_ページ_1.jpg</v>
      </c>
    </row>
    <row r="4488" spans="1:2" x14ac:dyDescent="0.15">
      <c r="A4488" t="s">
        <v>4461</v>
      </c>
      <c r="B4488" t="str">
        <f>HYPERLINK("に/にょう　尿血　1624　類経図翼　明・張介賓_ページ_2.jpg")</f>
        <v>に/にょう　尿血　1624　類経図翼　明・張介賓_ページ_2.jpg</v>
      </c>
    </row>
    <row r="4489" spans="1:2" x14ac:dyDescent="0.15">
      <c r="A4489" t="s">
        <v>4462</v>
      </c>
      <c r="B4489" t="str">
        <f>HYPERLINK("に/にょう　尿血　1686　鍼灸要法指南　岩田利斎.jpg")</f>
        <v>に/にょう　尿血　1686　鍼灸要法指南　岩田利斎.jpg</v>
      </c>
    </row>
    <row r="4490" spans="1:2" x14ac:dyDescent="0.15">
      <c r="A4490" t="s">
        <v>4463</v>
      </c>
      <c r="B4490" t="str">
        <f>HYPERLINK("に/にょう　尿血　1694　選鍼三要集　杉山和一.jpg")</f>
        <v>に/にょう　尿血　1694　選鍼三要集　杉山和一.jpg</v>
      </c>
    </row>
    <row r="4491" spans="1:2" x14ac:dyDescent="0.15">
      <c r="A4491" t="s">
        <v>4464</v>
      </c>
      <c r="B4491" t="str">
        <f>HYPERLINK("に/にょう　尿血　小便に血の交りて出る病　腎臓出血　1887（明治20）　鍼灸備要　青山道醇_ページ_1.jpg")</f>
        <v>に/にょう　尿血　小便に血の交りて出る病　腎臓出血　1887（明治20）　鍼灸備要　青山道醇_ページ_1.jpg</v>
      </c>
    </row>
    <row r="4492" spans="1:2" x14ac:dyDescent="0.15">
      <c r="A4492" t="s">
        <v>4465</v>
      </c>
      <c r="B4492" t="str">
        <f>HYPERLINK("に/にょう　尿血　小便に血の交りて出る病　腎臓出血　1887（明治20）　鍼灸備要　青山道醇_ページ_2.jpg")</f>
        <v>に/にょう　尿血　小便に血の交りて出る病　腎臓出血　1887（明治20）　鍼灸備要　青山道醇_ページ_2.jpg</v>
      </c>
    </row>
    <row r="4493" spans="1:2" x14ac:dyDescent="0.15">
      <c r="A4493" t="s">
        <v>4466</v>
      </c>
      <c r="B4493" t="str">
        <f>HYPERLINK("に/にょう　溺濁　　1792　鍼法要集　源長起_ページ_1.jpg")</f>
        <v>に/にょう　溺濁　　1792　鍼法要集　源長起_ページ_1.jpg</v>
      </c>
    </row>
    <row r="4494" spans="1:2" x14ac:dyDescent="0.15">
      <c r="A4494" t="s">
        <v>4467</v>
      </c>
      <c r="B4494" t="str">
        <f>HYPERLINK("に/にょう　溺濁　　1792　鍼法要集　源長起_ページ_2.jpg")</f>
        <v>に/にょう　溺濁　　1792　鍼法要集　源長起_ページ_2.jpg</v>
      </c>
    </row>
    <row r="4495" spans="1:2" x14ac:dyDescent="0.15">
      <c r="A4495" t="s">
        <v>4468</v>
      </c>
      <c r="B4495" t="str">
        <f>HYPERLINK("に/にょう　溺濁　いばりにごる　1718　鍼灸重宝記　本郷正豊.jpg")</f>
        <v>に/にょう　溺濁　いばりにごる　1718　鍼灸重宝記　本郷正豊.jpg</v>
      </c>
    </row>
    <row r="4496" spans="1:2" x14ac:dyDescent="0.15">
      <c r="A4496" t="s">
        <v>4469</v>
      </c>
      <c r="B4496" t="str">
        <f>HYPERLINK("に/にょう　溺血　1767　鍼灸則　菅沼周桂_ページ_1.jpg")</f>
        <v>に/にょう　溺血　1767　鍼灸則　菅沼周桂_ページ_1.jpg</v>
      </c>
    </row>
    <row r="4497" spans="1:2" x14ac:dyDescent="0.15">
      <c r="A4497" t="s">
        <v>4470</v>
      </c>
      <c r="B4497" t="str">
        <f>HYPERLINK("に/にょう　溺血　1767　鍼灸則　菅沼周桂_ページ_2.jpg")</f>
        <v>に/にょう　溺血　1767　鍼灸則　菅沼周桂_ページ_2.jpg</v>
      </c>
    </row>
    <row r="4498" spans="1:2" x14ac:dyDescent="0.15">
      <c r="A4498" t="s">
        <v>4471</v>
      </c>
      <c r="B4498" t="str">
        <f>HYPERLINK("に/にょう　溺血　1794　杉山流鍼術　島浦和田一.jpg")</f>
        <v>に/にょう　溺血　1794　杉山流鍼術　島浦和田一.jpg</v>
      </c>
    </row>
    <row r="4499" spans="1:2" x14ac:dyDescent="0.15">
      <c r="A4499" t="s">
        <v>4472</v>
      </c>
      <c r="B4499" t="str">
        <f>HYPERLINK("に/にん　妊娠　1773　鍼灸手引草　大簡室主人_ページ_1.jpg")</f>
        <v>に/にん　妊娠　1773　鍼灸手引草　大簡室主人_ページ_1.jpg</v>
      </c>
    </row>
    <row r="4500" spans="1:2" x14ac:dyDescent="0.15">
      <c r="A4500" t="s">
        <v>4473</v>
      </c>
      <c r="B4500" t="str">
        <f>HYPERLINK("に/にん　妊娠　1773　鍼灸手引草　大簡室主人_ページ_2.jpg")</f>
        <v>に/にん　妊娠　1773　鍼灸手引草　大簡室主人_ページ_2.jpg</v>
      </c>
    </row>
    <row r="4501" spans="1:2" x14ac:dyDescent="0.15">
      <c r="A4501" t="s">
        <v>4474</v>
      </c>
      <c r="B4501" t="str">
        <f>HYPERLINK("に/にん　妊娠十月之間灸法　成書年未詳　灸穴集　著者未詳.jpg")</f>
        <v>に/にん　妊娠十月之間灸法　成書年未詳　灸穴集　著者未詳.jpg</v>
      </c>
    </row>
    <row r="4502" spans="1:2" x14ac:dyDescent="0.15">
      <c r="A4502" t="s">
        <v>4475</v>
      </c>
      <c r="B4502" t="str">
        <f>HYPERLINK("に/にん　妊娠安産の灸　1912年（大正01）　鍼灸手引草　久木田七郎.jpg")</f>
        <v>に/にん　妊娠安産の灸　1912年（大正01）　鍼灸手引草　久木田七郎.jpg</v>
      </c>
    </row>
    <row r="4503" spans="1:2" x14ac:dyDescent="0.15">
      <c r="A4503" t="s">
        <v>4476</v>
      </c>
      <c r="B4503" t="str">
        <f>HYPERLINK("に/にん　妊娠禁灸穴　成書年未詳　灸穴集　著者未詳.jpg")</f>
        <v>に/にん　妊娠禁灸穴　成書年未詳　灸穴集　著者未詳.jpg</v>
      </c>
    </row>
    <row r="4504" spans="1:2" x14ac:dyDescent="0.15">
      <c r="A4504" t="s">
        <v>4477</v>
      </c>
      <c r="B4504" t="str">
        <f>HYPERLINK("に/にん　妊婦　はらみおんな　1718　鍼灸重宝記　本郷正豊.jpg")</f>
        <v>に/にん　妊婦　はらみおんな　1718　鍼灸重宝記　本郷正豊.jpg</v>
      </c>
    </row>
    <row r="4505" spans="1:2" x14ac:dyDescent="0.15">
      <c r="A4505" t="s">
        <v>4478</v>
      </c>
      <c r="B4505" t="str">
        <f>HYPERLINK("に/にん　妊婦頓に仆る　1693　鍼灸要歌集　安井昌玄.jpg")</f>
        <v>に/にん　妊婦頓に仆る　1693　鍼灸要歌集　安井昌玄.jpg</v>
      </c>
    </row>
    <row r="4506" spans="1:2" x14ac:dyDescent="0.15">
      <c r="A4506" t="s">
        <v>4479</v>
      </c>
      <c r="B4506" t="str">
        <f>HYPERLINK("に/にん　妊婦頓仆　1686　鍼灸要法指南　岩田利斎_ページ_1.jpg")</f>
        <v>に/にん　妊婦頓仆　1686　鍼灸要法指南　岩田利斎_ページ_1.jpg</v>
      </c>
    </row>
    <row r="4507" spans="1:2" x14ac:dyDescent="0.15">
      <c r="A4507" t="s">
        <v>4480</v>
      </c>
      <c r="B4507" t="str">
        <f>HYPERLINK("に/にん　妊婦頓仆　1686　鍼灸要法指南　岩田利斎_ページ_2.jpg")</f>
        <v>に/にん　妊婦頓仆　1686　鍼灸要法指南　岩田利斎_ページ_2.jpg</v>
      </c>
    </row>
    <row r="4508" spans="1:2" x14ac:dyDescent="0.15">
      <c r="A4508" t="s">
        <v>4481</v>
      </c>
      <c r="B4508" t="str">
        <f>HYPERLINK("に/にん　姙娠　附　臨産　1694　鍼灸そかい集　高津敬節.jpg")</f>
        <v>に/にん　姙娠　附　臨産　1694　鍼灸そかい集　高津敬節.jpg</v>
      </c>
    </row>
    <row r="4509" spans="1:2" x14ac:dyDescent="0.15">
      <c r="A4509" t="s">
        <v>4482</v>
      </c>
      <c r="B4509" t="str">
        <f>HYPERLINK("ね/ねつ　小児熱気　1607　扁鵲新流鍼書　越齋寿閑.jpg")</f>
        <v>ね/ねつ　小児熱気　1607　扁鵲新流鍼書　越齋寿閑.jpg</v>
      </c>
    </row>
    <row r="4510" spans="1:2" x14ac:dyDescent="0.15">
      <c r="A4510" t="s">
        <v>4483</v>
      </c>
      <c r="B4510" t="str">
        <f>HYPERLINK("ね/ねつ　熱　1686　鍼灸要法指南　岩田利斎.jpg")</f>
        <v>ね/ねつ　熱　1686　鍼灸要法指南　岩田利斎.jpg</v>
      </c>
    </row>
    <row r="4511" spans="1:2" x14ac:dyDescent="0.15">
      <c r="A4511" t="s">
        <v>4484</v>
      </c>
      <c r="B4511" t="str">
        <f>HYPERLINK("ね/ねつ　熱入血室　1537　鍼灸聚英　明・高武_ページ_1.jpg")</f>
        <v>ね/ねつ　熱入血室　1537　鍼灸聚英　明・高武_ページ_1.jpg</v>
      </c>
    </row>
    <row r="4512" spans="1:2" x14ac:dyDescent="0.15">
      <c r="A4512" t="s">
        <v>4485</v>
      </c>
      <c r="B4512" t="str">
        <f>HYPERLINK("ね/ねつ　熱入血室　1537　鍼灸聚英　明・高武_ページ_2.jpg")</f>
        <v>ね/ねつ　熱入血室　1537　鍼灸聚英　明・高武_ページ_2.jpg</v>
      </c>
    </row>
    <row r="4513" spans="1:2" x14ac:dyDescent="0.15">
      <c r="A4513" t="s">
        <v>4486</v>
      </c>
      <c r="B4513" t="str">
        <f>HYPERLINK("ね/ねつ　熱労上気喘満，腰背強痛　1315　鍼経摘英集　元・杜思敬「済生抜粋方」.jpg")</f>
        <v>ね/ねつ　熱労上気喘満，腰背強痛　1315　鍼経摘英集　元・杜思敬「済生抜粋方」.jpg</v>
      </c>
    </row>
    <row r="4514" spans="1:2" x14ac:dyDescent="0.15">
      <c r="A4514" t="s">
        <v>4487</v>
      </c>
      <c r="B4514" t="str">
        <f>HYPERLINK("ね/ねつ　熱狂走　0300　●足陽明脈病発熱狂走　第二　鍼灸甲乙経　皇甫謐_ページ_1.jpg")</f>
        <v>ね/ねつ　熱狂走　0300　●足陽明脈病発熱狂走　第二　鍼灸甲乙経　皇甫謐_ページ_1.jpg</v>
      </c>
    </row>
    <row r="4515" spans="1:2" x14ac:dyDescent="0.15">
      <c r="A4515" t="s">
        <v>4488</v>
      </c>
      <c r="B4515" t="str">
        <f>HYPERLINK("ね/ねつ　熱狂走　0300　●足陽明脈病発熱狂走　第二　鍼灸甲乙経　皇甫謐_ページ_2.jpg")</f>
        <v>ね/ねつ　熱狂走　0300　●足陽明脈病発熱狂走　第二　鍼灸甲乙経　皇甫謐_ページ_2.jpg</v>
      </c>
    </row>
    <row r="4516" spans="1:2" x14ac:dyDescent="0.15">
      <c r="A4516" t="s">
        <v>4489</v>
      </c>
      <c r="B4516" t="str">
        <f>HYPERLINK("ね/ねつ　熱病　0650　千金方　孫思ばく_ページ_1.jpg")</f>
        <v>ね/ねつ　熱病　0650　千金方　孫思ばく_ページ_1.jpg</v>
      </c>
    </row>
    <row r="4517" spans="1:2" x14ac:dyDescent="0.15">
      <c r="A4517" t="s">
        <v>4490</v>
      </c>
      <c r="B4517" t="str">
        <f>HYPERLINK("ね/ねつ　熱病　0650　千金方　孫思ばく_ページ_2.jpg")</f>
        <v>ね/ねつ　熱病　0650　千金方　孫思ばく_ページ_2.jpg</v>
      </c>
    </row>
    <row r="4518" spans="1:2" x14ac:dyDescent="0.15">
      <c r="A4518" t="s">
        <v>4491</v>
      </c>
      <c r="B4518" t="str">
        <f>HYPERLINK("ね/ねつ　熱病　0650　千金方　孫思ばく_ページ_3.jpg")</f>
        <v>ね/ねつ　熱病　0650　千金方　孫思ばく_ページ_3.jpg</v>
      </c>
    </row>
    <row r="4519" spans="1:2" x14ac:dyDescent="0.15">
      <c r="A4519" t="s">
        <v>4492</v>
      </c>
      <c r="B4519" t="str">
        <f>HYPERLINK("ね/ねつ　熱病　0650　千金方　孫思ばく_ページ_4.jpg")</f>
        <v>ね/ねつ　熱病　0650　千金方　孫思ばく_ページ_4.jpg</v>
      </c>
    </row>
    <row r="4520" spans="1:2" x14ac:dyDescent="0.15">
      <c r="A4520" t="s">
        <v>4493</v>
      </c>
      <c r="B4520" t="str">
        <f>HYPERLINK("ね/ねつ　熱病　1574　兪穴参伍的法　秦宗巴_ページ_1.jpg")</f>
        <v>ね/ねつ　熱病　1574　兪穴参伍的法　秦宗巴_ページ_1.jpg</v>
      </c>
    </row>
    <row r="4521" spans="1:2" x14ac:dyDescent="0.15">
      <c r="A4521" t="s">
        <v>4494</v>
      </c>
      <c r="B4521" t="str">
        <f>HYPERLINK("ね/ねつ　熱病　1574　兪穴参伍的法　秦宗巴_ページ_2.jpg")</f>
        <v>ね/ねつ　熱病　1574　兪穴参伍的法　秦宗巴_ページ_2.jpg</v>
      </c>
    </row>
    <row r="4522" spans="1:2" x14ac:dyDescent="0.15">
      <c r="A4522" t="s">
        <v>4495</v>
      </c>
      <c r="B4522" t="str">
        <f>HYPERLINK("ね/ねつ　熱病　1669　鍼灸枢要　山本玄通_ページ_01.jpg")</f>
        <v>ね/ねつ　熱病　1669　鍼灸枢要　山本玄通_ページ_01.jpg</v>
      </c>
    </row>
    <row r="4523" spans="1:2" x14ac:dyDescent="0.15">
      <c r="A4523" t="s">
        <v>4496</v>
      </c>
      <c r="B4523" t="str">
        <f>HYPERLINK("ね/ねつ　熱病　1669　鍼灸枢要　山本玄通_ページ_02.jpg")</f>
        <v>ね/ねつ　熱病　1669　鍼灸枢要　山本玄通_ページ_02.jpg</v>
      </c>
    </row>
    <row r="4524" spans="1:2" x14ac:dyDescent="0.15">
      <c r="A4524" t="s">
        <v>4497</v>
      </c>
      <c r="B4524" t="str">
        <f>HYPERLINK("ね/ねつ　熱病　1669　鍼灸枢要　山本玄通_ページ_03.jpg")</f>
        <v>ね/ねつ　熱病　1669　鍼灸枢要　山本玄通_ページ_03.jpg</v>
      </c>
    </row>
    <row r="4525" spans="1:2" x14ac:dyDescent="0.15">
      <c r="A4525" t="s">
        <v>4498</v>
      </c>
      <c r="B4525" t="str">
        <f>HYPERLINK("ね/ねつ　熱病　1669　鍼灸枢要　山本玄通_ページ_04.jpg")</f>
        <v>ね/ねつ　熱病　1669　鍼灸枢要　山本玄通_ページ_04.jpg</v>
      </c>
    </row>
    <row r="4526" spans="1:2" x14ac:dyDescent="0.15">
      <c r="A4526" t="s">
        <v>4499</v>
      </c>
      <c r="B4526" t="str">
        <f>HYPERLINK("ね/ねつ　熱病　1669　鍼灸枢要　山本玄通_ページ_05.jpg")</f>
        <v>ね/ねつ　熱病　1669　鍼灸枢要　山本玄通_ページ_05.jpg</v>
      </c>
    </row>
    <row r="4527" spans="1:2" x14ac:dyDescent="0.15">
      <c r="A4527" t="s">
        <v>4500</v>
      </c>
      <c r="B4527" t="str">
        <f>HYPERLINK("ね/ねつ　熱病　1669　鍼灸枢要　山本玄通_ページ_06.jpg")</f>
        <v>ね/ねつ　熱病　1669　鍼灸枢要　山本玄通_ページ_06.jpg</v>
      </c>
    </row>
    <row r="4528" spans="1:2" x14ac:dyDescent="0.15">
      <c r="A4528" t="s">
        <v>4501</v>
      </c>
      <c r="B4528" t="str">
        <f>HYPERLINK("ね/ねつ　熱病　1669　鍼灸枢要　山本玄通_ページ_07.jpg")</f>
        <v>ね/ねつ　熱病　1669　鍼灸枢要　山本玄通_ページ_07.jpg</v>
      </c>
    </row>
    <row r="4529" spans="1:2" x14ac:dyDescent="0.15">
      <c r="A4529" t="s">
        <v>4502</v>
      </c>
      <c r="B4529" t="str">
        <f>HYPERLINK("ね/ねつ　熱病　1669　鍼灸枢要　山本玄通_ページ_08.jpg")</f>
        <v>ね/ねつ　熱病　1669　鍼灸枢要　山本玄通_ページ_08.jpg</v>
      </c>
    </row>
    <row r="4530" spans="1:2" x14ac:dyDescent="0.15">
      <c r="A4530" t="s">
        <v>4503</v>
      </c>
      <c r="B4530" t="str">
        <f>HYPERLINK("ね/ねつ　熱病　1669　鍼灸枢要　山本玄通_ページ_09.jpg")</f>
        <v>ね/ねつ　熱病　1669　鍼灸枢要　山本玄通_ページ_09.jpg</v>
      </c>
    </row>
    <row r="4531" spans="1:2" x14ac:dyDescent="0.15">
      <c r="A4531" t="s">
        <v>4504</v>
      </c>
      <c r="B4531" t="str">
        <f>HYPERLINK("ね/ねつ　熱病　1669　鍼灸枢要　山本玄通_ページ_10.jpg")</f>
        <v>ね/ねつ　熱病　1669　鍼灸枢要　山本玄通_ページ_10.jpg</v>
      </c>
    </row>
    <row r="4532" spans="1:2" x14ac:dyDescent="0.15">
      <c r="A4532" t="s">
        <v>4505</v>
      </c>
      <c r="B4532" t="str">
        <f>HYPERLINK("ね/ねつ　熱病　1669　鍼灸枢要　山本玄通_ページ_11.jpg")</f>
        <v>ね/ねつ　熱病　1669　鍼灸枢要　山本玄通_ページ_11.jpg</v>
      </c>
    </row>
    <row r="4533" spans="1:2" x14ac:dyDescent="0.15">
      <c r="A4533" t="s">
        <v>4506</v>
      </c>
      <c r="B4533" t="str">
        <f>HYPERLINK("ね/ねつ　熱痰　1694　選鍼三要集　杉山和一.jpg")</f>
        <v>ね/ねつ　熱痰　1694　選鍼三要集　杉山和一.jpg</v>
      </c>
    </row>
    <row r="4534" spans="1:2" x14ac:dyDescent="0.15">
      <c r="A4534" t="s">
        <v>4507</v>
      </c>
      <c r="B4534" t="str">
        <f>HYPERLINK("ね/ねつ　熱風　1299　続添要穴集　惟宗時俊.jpg")</f>
        <v>ね/ねつ　熱風　1299　続添要穴集　惟宗時俊.jpg</v>
      </c>
    </row>
    <row r="4535" spans="1:2" x14ac:dyDescent="0.15">
      <c r="A4535" t="s">
        <v>4508</v>
      </c>
      <c r="B4535" t="str">
        <f>HYPERLINK("ね/ねつ　諸熱　1680　鍼灸抜萃　著者未詳.jpg")</f>
        <v>ね/ねつ　諸熱　1680　鍼灸抜萃　著者未詳.jpg</v>
      </c>
    </row>
    <row r="4536" spans="1:2" x14ac:dyDescent="0.15">
      <c r="A4536" t="s">
        <v>4509</v>
      </c>
      <c r="B4536" t="str">
        <f>HYPERLINK("ね/ねつ　諸熱　1693　鍼灸要歌集　安井昌玄_ページ_1.jpg")</f>
        <v>ね/ねつ　諸熱　1693　鍼灸要歌集　安井昌玄_ページ_1.jpg</v>
      </c>
    </row>
    <row r="4537" spans="1:2" x14ac:dyDescent="0.15">
      <c r="A4537" t="s">
        <v>4510</v>
      </c>
      <c r="B4537" t="str">
        <f>HYPERLINK("ね/ねつ　諸熱　1693　鍼灸要歌集　安井昌玄_ページ_2.jpg")</f>
        <v>ね/ねつ　諸熱　1693　鍼灸要歌集　安井昌玄_ページ_2.jpg</v>
      </c>
    </row>
    <row r="4538" spans="1:2" x14ac:dyDescent="0.15">
      <c r="A4538" t="s">
        <v>4511</v>
      </c>
      <c r="B4538" t="str">
        <f>HYPERLINK("ね/ねつ　諸熱　1693　鍼灸要歌集　安井昌玄_ページ_3.jpg")</f>
        <v>ね/ねつ　諸熱　1693　鍼灸要歌集　安井昌玄_ページ_3.jpg</v>
      </c>
    </row>
    <row r="4539" spans="1:2" x14ac:dyDescent="0.15">
      <c r="A4539" t="s">
        <v>4512</v>
      </c>
      <c r="B4539" t="str">
        <f>HYPERLINK("ね/ねつ　諸熱　1696　広益鍼灸抜萃　著者未詳_ページ_1.jpg")</f>
        <v>ね/ねつ　諸熱　1696　広益鍼灸抜萃　著者未詳_ページ_1.jpg</v>
      </c>
    </row>
    <row r="4540" spans="1:2" x14ac:dyDescent="0.15">
      <c r="A4540" t="s">
        <v>4513</v>
      </c>
      <c r="B4540" t="str">
        <f>HYPERLINK("ね/ねつ　諸熱　1696　広益鍼灸抜萃　著者未詳_ページ_2.jpg")</f>
        <v>ね/ねつ　諸熱　1696　広益鍼灸抜萃　著者未詳_ページ_2.jpg</v>
      </c>
    </row>
    <row r="4541" spans="1:2" x14ac:dyDescent="0.15">
      <c r="A4541" t="s">
        <v>4514</v>
      </c>
      <c r="B4541" t="str">
        <f>HYPERLINK("ね/ねつ　諸熱　1696　広益鍼灸抜萃　著者未詳_ページ_3.jpg")</f>
        <v>ね/ねつ　諸熱　1696　広益鍼灸抜萃　著者未詳_ページ_3.jpg</v>
      </c>
    </row>
    <row r="4542" spans="1:2" x14ac:dyDescent="0.15">
      <c r="A4542" t="s">
        <v>4515</v>
      </c>
      <c r="B4542" t="str">
        <f>HYPERLINK("ね/ねつ　諸熱　1718　鍼灸重宝記　本郷正豊.jpg")</f>
        <v>ね/ねつ　諸熱　1718　鍼灸重宝記　本郷正豊.jpg</v>
      </c>
    </row>
    <row r="4543" spans="1:2" x14ac:dyDescent="0.15">
      <c r="A4543" t="s">
        <v>4516</v>
      </c>
      <c r="B4543" t="str">
        <f>HYPERLINK("ね/ねつ　諸熱　1718　鍼灸重宝記　本郷正豊_ページ_1.jpg")</f>
        <v>ね/ねつ　諸熱　1718　鍼灸重宝記　本郷正豊_ページ_1.jpg</v>
      </c>
    </row>
    <row r="4544" spans="1:2" x14ac:dyDescent="0.15">
      <c r="A4544" t="s">
        <v>4517</v>
      </c>
      <c r="B4544" t="str">
        <f>HYPERLINK("ね/ねつ　諸熱　1718　鍼灸重宝記　本郷正豊_ページ_2.jpg")</f>
        <v>ね/ねつ　諸熱　1718　鍼灸重宝記　本郷正豊_ページ_2.jpg</v>
      </c>
    </row>
    <row r="4545" spans="1:2" x14ac:dyDescent="0.15">
      <c r="A4545" t="s">
        <v>4518</v>
      </c>
      <c r="B4545" t="str">
        <f>HYPERLINK("ね/ねつ　諸熱　1773　鍼灸手引草　大簡室主人.jpg")</f>
        <v>ね/ねつ　諸熱　1773　鍼灸手引草　大簡室主人.jpg</v>
      </c>
    </row>
    <row r="4546" spans="1:2" x14ac:dyDescent="0.15">
      <c r="A4546" t="s">
        <v>4519</v>
      </c>
      <c r="B4546" t="str">
        <f>HYPERLINK("ね/ねつ　諸熱醒針穴　1613　古今集鍼法　長生庵了味か.jpg")</f>
        <v>ね/ねつ　諸熱醒針穴　1613　古今集鍼法　長生庵了味か.jpg</v>
      </c>
    </row>
    <row r="4547" spans="1:2" x14ac:dyDescent="0.15">
      <c r="A4547" t="s">
        <v>4520</v>
      </c>
      <c r="B4547" t="str">
        <f>HYPERLINK("ね/ねつ　諸熱（小児）　1669　鍼灸枢要　山本玄通_ページ_1.jpg")</f>
        <v>ね/ねつ　諸熱（小児）　1669　鍼灸枢要　山本玄通_ページ_1.jpg</v>
      </c>
    </row>
    <row r="4548" spans="1:2" x14ac:dyDescent="0.15">
      <c r="A4548" t="s">
        <v>4521</v>
      </c>
      <c r="B4548" t="str">
        <f>HYPERLINK("ね/ねつ　諸熱（小児）　1669　鍼灸枢要　山本玄通_ページ_2.jpg")</f>
        <v>ね/ねつ　諸熱（小児）　1669　鍼灸枢要　山本玄通_ページ_2.jpg</v>
      </c>
    </row>
    <row r="4549" spans="1:2" x14ac:dyDescent="0.15">
      <c r="A4549" t="s">
        <v>4522</v>
      </c>
      <c r="B4549" t="str">
        <f>HYPERLINK("の/のう　脳痛　1794　杉山流鍼術　島浦和田一.jpg")</f>
        <v>の/のう　脳痛　1794　杉山流鍼術　島浦和田一.jpg</v>
      </c>
    </row>
    <row r="4550" spans="1:2" x14ac:dyDescent="0.15">
      <c r="A4550" t="s">
        <v>4523</v>
      </c>
      <c r="B4550" t="str">
        <f>HYPERLINK("の/のう　脳痛（脳風）　1220　鍼灸資生経　王執中_ページ_1.jpg")</f>
        <v>の/のう　脳痛（脳風）　1220　鍼灸資生経　王執中_ページ_1.jpg</v>
      </c>
    </row>
    <row r="4551" spans="1:2" x14ac:dyDescent="0.15">
      <c r="A4551" t="s">
        <v>4524</v>
      </c>
      <c r="B4551" t="str">
        <f>HYPERLINK("の/のう　脳痛（脳風）　1220　鍼灸資生経　王執中_ページ_2.jpg")</f>
        <v>の/のう　脳痛（脳風）　1220　鍼灸資生経　王執中_ページ_2.jpg</v>
      </c>
    </row>
    <row r="4552" spans="1:2" x14ac:dyDescent="0.15">
      <c r="A4552" t="s">
        <v>4525</v>
      </c>
      <c r="B4552" t="str">
        <f>HYPERLINK("は/は　歯をかみ言事不逐治穴　1613　古今集鍼法　長生庵了味か_ページ_01.jpg")</f>
        <v>は/は　歯をかみ言事不逐治穴　1613　古今集鍼法　長生庵了味か_ページ_01.jpg</v>
      </c>
    </row>
    <row r="4553" spans="1:2" x14ac:dyDescent="0.15">
      <c r="A4553" t="s">
        <v>4526</v>
      </c>
      <c r="B4553" t="str">
        <f>HYPERLINK("は/は　破傷風及風犬咬傷　1807　続名家灸選　平井庸信.jpg")</f>
        <v>は/は　破傷風及風犬咬傷　1807　続名家灸選　平井庸信.jpg</v>
      </c>
    </row>
    <row r="4554" spans="1:2" x14ac:dyDescent="0.15">
      <c r="A4554" t="s">
        <v>4527</v>
      </c>
      <c r="B4554" t="str">
        <f>HYPERLINK("は/はい　肺の積　1607　扁鵲新流鍼書　越齋寿閑_ページ_1.jpg")</f>
        <v>は/はい　肺の積　1607　扁鵲新流鍼書　越齋寿閑_ページ_1.jpg</v>
      </c>
    </row>
    <row r="4555" spans="1:2" x14ac:dyDescent="0.15">
      <c r="A4555" t="s">
        <v>4528</v>
      </c>
      <c r="B4555" t="str">
        <f>HYPERLINK("は/はい　肺の積　1607　扁鵲新流鍼書　越齋寿閑_ページ_2.jpg")</f>
        <v>は/はい　肺の積　1607　扁鵲新流鍼書　越齋寿閑_ページ_2.jpg</v>
      </c>
    </row>
    <row r="4556" spans="1:2" x14ac:dyDescent="0.15">
      <c r="A4556" t="s">
        <v>4529</v>
      </c>
      <c r="B4556" t="str">
        <f>HYPERLINK("は/はい　肺気（肺風）　1220　鍼灸資生経　王執中.jpg")</f>
        <v>は/はい　肺気（肺風）　1220　鍼灸資生経　王執中.jpg</v>
      </c>
    </row>
    <row r="4557" spans="1:2" x14ac:dyDescent="0.15">
      <c r="A4557" t="s">
        <v>4530</v>
      </c>
      <c r="B4557" t="str">
        <f>HYPERLINK("は/はい　肺病又癆咳　成書年未詳　経穴図解　著者未詳_ページ_1.jpg")</f>
        <v>は/はい　肺病又癆咳　成書年未詳　経穴図解　著者未詳_ページ_1.jpg</v>
      </c>
    </row>
    <row r="4558" spans="1:2" x14ac:dyDescent="0.15">
      <c r="A4558" t="s">
        <v>4531</v>
      </c>
      <c r="B4558" t="str">
        <f>HYPERLINK("は/はい　肺病又癆咳　成書年未詳　経穴図解　著者未詳_ページ_2.jpg")</f>
        <v>は/はい　肺病又癆咳　成書年未詳　経穴図解　著者未詳_ページ_2.jpg</v>
      </c>
    </row>
    <row r="4559" spans="1:2" x14ac:dyDescent="0.15">
      <c r="A4559" t="s">
        <v>4532</v>
      </c>
      <c r="B4559" t="str">
        <f>HYPERLINK("は/はい　肺癰　1800　岡田流鍼術書　岡田見龍_ページ_1.jpg")</f>
        <v>は/はい　肺癰　1800　岡田流鍼術書　岡田見龍_ページ_1.jpg</v>
      </c>
    </row>
    <row r="4560" spans="1:2" x14ac:dyDescent="0.15">
      <c r="A4560" t="s">
        <v>4533</v>
      </c>
      <c r="B4560" t="str">
        <f>HYPERLINK("は/はい　肺癰　1800　岡田流鍼術書　岡田見龍_ページ_2.jpg")</f>
        <v>は/はい　肺癰　1800　岡田流鍼術書　岡田見龍_ページ_2.jpg</v>
      </c>
    </row>
    <row r="4561" spans="1:2" x14ac:dyDescent="0.15">
      <c r="A4561" t="s">
        <v>4534</v>
      </c>
      <c r="B4561" t="str">
        <f>HYPERLINK("は/はい　肺癰　成書年未詳　灸穴集　著者未詳.jpg")</f>
        <v>は/はい　肺癰　成書年未詳　灸穴集　著者未詳.jpg</v>
      </c>
    </row>
    <row r="4562" spans="1:2" x14ac:dyDescent="0.15">
      <c r="A4562" t="s">
        <v>4535</v>
      </c>
      <c r="B4562" t="str">
        <f>HYPERLINK("は/はい　肺癰　肺痿　1686　鍼灸要法指南　岩田利斎_ページ_1.jpg")</f>
        <v>は/はい　肺癰　肺痿　1686　鍼灸要法指南　岩田利斎_ページ_1.jpg</v>
      </c>
    </row>
    <row r="4563" spans="1:2" x14ac:dyDescent="0.15">
      <c r="A4563" t="s">
        <v>4536</v>
      </c>
      <c r="B4563" t="str">
        <f>HYPERLINK("は/はい　肺癰　肺痿　1686　鍼灸要法指南　岩田利斎_ページ_2.jpg")</f>
        <v>は/はい　肺癰　肺痿　1686　鍼灸要法指南　岩田利斎_ページ_2.jpg</v>
      </c>
    </row>
    <row r="4564" spans="1:2" x14ac:dyDescent="0.15">
      <c r="A4564" t="s">
        <v>4537</v>
      </c>
      <c r="B4564" t="str">
        <f>HYPERLINK("は/はい　肺積名息奔、在右脇下　1694　選鍼三要集　杉山和一.jpg")</f>
        <v>は/はい　肺積名息奔、在右脇下　1694　選鍼三要集　杉山和一.jpg</v>
      </c>
    </row>
    <row r="4565" spans="1:2" x14ac:dyDescent="0.15">
      <c r="A4565" t="s">
        <v>4538</v>
      </c>
      <c r="B4565" t="str">
        <f>HYPERLINK("は/はい　背痛　1220　鍼灸資生経　王執中.jpg")</f>
        <v>は/はい　背痛　1220　鍼灸資生経　王執中.jpg</v>
      </c>
    </row>
    <row r="4566" spans="1:2" x14ac:dyDescent="0.15">
      <c r="A4566" t="s">
        <v>4539</v>
      </c>
      <c r="B4566" t="str">
        <f>HYPERLINK("は/はい　背痛　1686　鍼灸要法指南　岩田利斎.jpg")</f>
        <v>は/はい　背痛　1686　鍼灸要法指南　岩田利斎.jpg</v>
      </c>
    </row>
    <row r="4567" spans="1:2" x14ac:dyDescent="0.15">
      <c r="A4567" t="s">
        <v>4540</v>
      </c>
      <c r="B4567" t="str">
        <f>HYPERLINK("は/はい　背痛　1912年（大正01）　鍼灸手引草　久木田七郎.jpg")</f>
        <v>は/はい　背痛　1912年（大正01）　鍼灸手引草　久木田七郎.jpg</v>
      </c>
    </row>
    <row r="4568" spans="1:2" x14ac:dyDescent="0.15">
      <c r="A4568" t="s">
        <v>4541</v>
      </c>
      <c r="B4568" t="str">
        <f>HYPERLINK("は/はい　背痛　せのいたみ　1780　鍼灸極秘伝　木村太沖.jpg")</f>
        <v>は/はい　背痛　せのいたみ　1780　鍼灸極秘伝　木村太沖.jpg</v>
      </c>
    </row>
    <row r="4569" spans="1:2" x14ac:dyDescent="0.15">
      <c r="A4569" t="s">
        <v>4542</v>
      </c>
      <c r="B4569" t="str">
        <f>HYPERLINK("は/はい　背瘡　1224　医説　宋・張杲_ページ_1.jpg")</f>
        <v>は/はい　背瘡　1224　医説　宋・張杲_ページ_1.jpg</v>
      </c>
    </row>
    <row r="4570" spans="1:2" x14ac:dyDescent="0.15">
      <c r="A4570" t="s">
        <v>4543</v>
      </c>
      <c r="B4570" t="str">
        <f>HYPERLINK("は/はい　背瘡　1224　医説　宋・張杲_ページ_2.jpg")</f>
        <v>は/はい　背瘡　1224　医説　宋・張杲_ページ_2.jpg</v>
      </c>
    </row>
    <row r="4571" spans="1:2" x14ac:dyDescent="0.15">
      <c r="A4571" t="s">
        <v>4544</v>
      </c>
      <c r="B4571" t="str">
        <f>HYPERLINK("は/はい　背脊（はいせき）痛　せほねのいたむ病　脊髄炎　1887（明治20）　鍼灸備要　青山道醇.jpg")</f>
        <v>は/はい　背脊（はいせき）痛　せほねのいたむ病　脊髄炎　1887（明治20）　鍼灸備要　青山道醇.jpg</v>
      </c>
    </row>
    <row r="4572" spans="1:2" x14ac:dyDescent="0.15">
      <c r="A4572" t="s">
        <v>4545</v>
      </c>
      <c r="B4572" t="str">
        <f>HYPERLINK("は/はく　白濁　1624　類経図翼　明・張介賓.jpg")</f>
        <v>は/はく　白濁　1624　類経図翼　明・張介賓.jpg</v>
      </c>
    </row>
    <row r="4573" spans="1:2" x14ac:dyDescent="0.15">
      <c r="A4573" t="s">
        <v>4546</v>
      </c>
      <c r="B4573" t="str">
        <f>HYPERLINK("は/はく　白癜白駮　1299　続添要穴集　惟宗時俊.jpg")</f>
        <v>は/はく　白癜白駮　1299　続添要穴集　惟宗時俊.jpg</v>
      </c>
    </row>
    <row r="4574" spans="1:2" x14ac:dyDescent="0.15">
      <c r="A4574" t="s">
        <v>4547</v>
      </c>
      <c r="B4574" t="str">
        <f>HYPERLINK("は/はつ　発熱-02　1537　鍼灸聚英　明・高武.jpg")</f>
        <v>は/はつ　発熱-02　1537　鍼灸聚英　明・高武.jpg</v>
      </c>
    </row>
    <row r="4575" spans="1:2" x14ac:dyDescent="0.15">
      <c r="A4575" t="s">
        <v>4548</v>
      </c>
      <c r="B4575" t="str">
        <f>HYPERLINK("は/はつ　発熱　1537　鍼灸聚英　明・高武_ページ_1.jpg")</f>
        <v>は/はつ　発熱　1537　鍼灸聚英　明・高武_ページ_1.jpg</v>
      </c>
    </row>
    <row r="4576" spans="1:2" x14ac:dyDescent="0.15">
      <c r="A4576" t="s">
        <v>4549</v>
      </c>
      <c r="B4576" t="str">
        <f>HYPERLINK("は/はつ　発熱　1537　鍼灸聚英　明・高武_ページ_2.jpg")</f>
        <v>は/はつ　発熱　1537　鍼灸聚英　明・高武_ページ_2.jpg</v>
      </c>
    </row>
    <row r="4577" spans="1:2" x14ac:dyDescent="0.15">
      <c r="A4577" t="s">
        <v>4550</v>
      </c>
      <c r="B4577" t="str">
        <f>HYPERLINK("は/はつ　発背　1220　鍼灸資生経　王執中_ページ_1.jpg")</f>
        <v>は/はつ　発背　1220　鍼灸資生経　王執中_ページ_1.jpg</v>
      </c>
    </row>
    <row r="4578" spans="1:2" x14ac:dyDescent="0.15">
      <c r="A4578" t="s">
        <v>4551</v>
      </c>
      <c r="B4578" t="str">
        <f>HYPERLINK("は/はつ　発背　1220　鍼灸資生経　王執中_ページ_2.jpg")</f>
        <v>は/はつ　発背　1220　鍼灸資生経　王執中_ページ_2.jpg</v>
      </c>
    </row>
    <row r="4579" spans="1:2" x14ac:dyDescent="0.15">
      <c r="A4579" t="s">
        <v>4552</v>
      </c>
      <c r="B4579" t="str">
        <f>HYPERLINK("は/はつ　発背　1220　鍼灸資生経　王執中_ページ_3.jpg")</f>
        <v>は/はつ　発背　1220　鍼灸資生経　王執中_ページ_3.jpg</v>
      </c>
    </row>
    <row r="4580" spans="1:2" x14ac:dyDescent="0.15">
      <c r="A4580" t="s">
        <v>4553</v>
      </c>
      <c r="B4580" t="str">
        <f>HYPERLINK("は/はん　半身不随偏風　1299　続添要穴集　惟宗時俊_ページ_1.jpg")</f>
        <v>は/はん　半身不随偏風　1299　続添要穴集　惟宗時俊_ページ_1.jpg</v>
      </c>
    </row>
    <row r="4581" spans="1:2" x14ac:dyDescent="0.15">
      <c r="A4581" t="s">
        <v>4554</v>
      </c>
      <c r="B4581" t="str">
        <f>HYPERLINK("は/はん　半身不随偏風　1299　続添要穴集　惟宗時俊_ページ_2.jpg")</f>
        <v>は/はん　半身不随偏風　1299　続添要穴集　惟宗時俊_ページ_2.jpg</v>
      </c>
    </row>
    <row r="4582" spans="1:2" x14ac:dyDescent="0.15">
      <c r="A4582" t="s">
        <v>4555</v>
      </c>
      <c r="B4582" t="str">
        <f>HYPERLINK("は/はん　反胃　1220　鍼灸資生経　王執中.jpg")</f>
        <v>は/はん　反胃　1220　鍼灸資生経　王執中.jpg</v>
      </c>
    </row>
    <row r="4583" spans="1:2" x14ac:dyDescent="0.15">
      <c r="A4583" t="s">
        <v>4556</v>
      </c>
      <c r="B4583" t="str">
        <f>HYPERLINK("は/はん　反胃　1785　鍼書　本城義軒.jpg")</f>
        <v>は/はん　反胃　1785　鍼書　本城義軒.jpg</v>
      </c>
    </row>
    <row r="4584" spans="1:2" x14ac:dyDescent="0.15">
      <c r="A4584" t="s">
        <v>4557</v>
      </c>
      <c r="B4584" t="str">
        <f>HYPERLINK("は/はん　反胃　1794　杉山流鍼術　島浦和田一.jpg")</f>
        <v>は/はん　反胃　1794　杉山流鍼術　島浦和田一.jpg</v>
      </c>
    </row>
    <row r="4585" spans="1:2" x14ac:dyDescent="0.15">
      <c r="A4585" t="s">
        <v>4558</v>
      </c>
      <c r="B4585" t="str">
        <f>HYPERLINK("は/はん　反胃　膈噎　呑酸　1807　続名家灸選　平井庸信.jpg")</f>
        <v>は/はん　反胃　膈噎　呑酸　1807　続名家灸選　平井庸信.jpg</v>
      </c>
    </row>
    <row r="4586" spans="1:2" x14ac:dyDescent="0.15">
      <c r="A4586" t="s">
        <v>4559</v>
      </c>
      <c r="B4586" t="str">
        <f>HYPERLINK("は/はん　反胃の病　1607　扁鵲新流鍼書　越齋寿閑_ページ_1.jpg")</f>
        <v>は/はん　反胃の病　1607　扁鵲新流鍼書　越齋寿閑_ページ_1.jpg</v>
      </c>
    </row>
    <row r="4587" spans="1:2" x14ac:dyDescent="0.15">
      <c r="A4587" t="s">
        <v>4560</v>
      </c>
      <c r="B4587" t="str">
        <f>HYPERLINK("は/はん　反胃の病　1607　扁鵲新流鍼書　越齋寿閑_ページ_2.jpg")</f>
        <v>は/はん　反胃の病　1607　扁鵲新流鍼書　越齋寿閑_ページ_2.jpg</v>
      </c>
    </row>
    <row r="4588" spans="1:2" x14ac:dyDescent="0.15">
      <c r="A4588" t="s">
        <v>4561</v>
      </c>
      <c r="B4588" t="str">
        <f>HYPERLINK("は/はん　反胃吐食（胃拡張）　1912年（大正01）　鍼灸手引草　久木田七郎.jpg")</f>
        <v>は/はん　反胃吐食（胃拡張）　1912年（大正01）　鍼灸手引草　久木田七郎.jpg</v>
      </c>
    </row>
    <row r="4589" spans="1:2" x14ac:dyDescent="0.15">
      <c r="A4589" t="s">
        <v>4562</v>
      </c>
      <c r="B4589" t="str">
        <f>HYPERLINK("は/はん　嘔吐　膈噎　反胃　呑酸　1792　鍼法要集　源長起_ページ_1.jpg")</f>
        <v>は/はん　嘔吐　膈噎　反胃　呑酸　1792　鍼法要集　源長起_ページ_1.jpg</v>
      </c>
    </row>
    <row r="4590" spans="1:2" x14ac:dyDescent="0.15">
      <c r="A4590" t="s">
        <v>4563</v>
      </c>
      <c r="B4590" t="str">
        <f>HYPERLINK("は/はん　嘔吐　膈噎　反胃　呑酸　1792　鍼法要集　源長起_ページ_2.jpg")</f>
        <v>は/はん　嘔吐　膈噎　反胃　呑酸　1792　鍼法要集　源長起_ページ_2.jpg</v>
      </c>
    </row>
    <row r="4591" spans="1:2" x14ac:dyDescent="0.15">
      <c r="A4591" t="s">
        <v>4564</v>
      </c>
      <c r="B4591" t="str">
        <f>HYPERLINK("は/はん　嘔吐　膈噎　反胃　呑酸　1792　鍼法要集　源長起_ページ_3.jpg")</f>
        <v>は/はん　嘔吐　膈噎　反胃　呑酸　1792　鍼法要集　源長起_ページ_3.jpg</v>
      </c>
    </row>
    <row r="4592" spans="1:2" x14ac:dyDescent="0.15">
      <c r="A4592" t="s">
        <v>4565</v>
      </c>
      <c r="B4592" t="str">
        <f>HYPERLINK("は/はん　煩躁　1537　鍼灸聚英　明・高武_ページ_1.jpg")</f>
        <v>は/はん　煩躁　1537　鍼灸聚英　明・高武_ページ_1.jpg</v>
      </c>
    </row>
    <row r="4593" spans="1:2" x14ac:dyDescent="0.15">
      <c r="A4593" t="s">
        <v>4566</v>
      </c>
      <c r="B4593" t="str">
        <f>HYPERLINK("は/はん　煩躁　1537　鍼灸聚英　明・高武_ページ_2.jpg")</f>
        <v>は/はん　煩躁　1537　鍼灸聚英　明・高武_ページ_2.jpg</v>
      </c>
    </row>
    <row r="4594" spans="1:2" x14ac:dyDescent="0.15">
      <c r="A4594" t="s">
        <v>4567</v>
      </c>
      <c r="B4594" t="str">
        <f>HYPERLINK("は/はん　煩躁　1669　鍼灸枢要　山本玄通_ページ_1.jpg")</f>
        <v>は/はん　煩躁　1669　鍼灸枢要　山本玄通_ページ_1.jpg</v>
      </c>
    </row>
    <row r="4595" spans="1:2" x14ac:dyDescent="0.15">
      <c r="A4595" t="s">
        <v>4568</v>
      </c>
      <c r="B4595" t="str">
        <f>HYPERLINK("は/はん　煩躁　1669　鍼灸枢要　山本玄通_ページ_2.jpg")</f>
        <v>は/はん　煩躁　1669　鍼灸枢要　山本玄通_ページ_2.jpg</v>
      </c>
    </row>
    <row r="4596" spans="1:2" x14ac:dyDescent="0.15">
      <c r="A4596" t="s">
        <v>4569</v>
      </c>
      <c r="B4596" t="str">
        <f>HYPERLINK("ば/ば　馬刀れき　成書年未詳　灸穴集　著者未詳.jpg")</f>
        <v>ば/ば　馬刀れき　成書年未詳　灸穴集　著者未詳.jpg</v>
      </c>
    </row>
    <row r="4597" spans="1:2" x14ac:dyDescent="0.15">
      <c r="A4597" t="s">
        <v>4570</v>
      </c>
      <c r="B4597" t="str">
        <f>HYPERLINK("ば/ば　馬脾風（ばひふう）　ばひふう　格魯布（コロウブ）（＝コロフ）　→クループ性肺炎　1887（明治20）　鍼灸備要　青山道醇.jpg")</f>
        <v>ば/ば　馬脾風（ばひふう）　ばひふう　格魯布（コロウブ）（＝コロフ）　→クループ性肺炎　1887（明治20）　鍼灸備要　青山道醇.jpg</v>
      </c>
    </row>
    <row r="4598" spans="1:2" x14ac:dyDescent="0.15">
      <c r="A4598" t="s">
        <v>4571</v>
      </c>
      <c r="B4598" t="str">
        <f>HYPERLINK("ひ/ひ　痞満　1669　鍼灸枢要　山本玄通_ページ_1.jpg")</f>
        <v>ひ/ひ　痞満　1669　鍼灸枢要　山本玄通_ページ_1.jpg</v>
      </c>
    </row>
    <row r="4599" spans="1:2" x14ac:dyDescent="0.15">
      <c r="A4599" t="s">
        <v>4572</v>
      </c>
      <c r="B4599" t="str">
        <f>HYPERLINK("ひ/ひ　痞満　1669　鍼灸枢要　山本玄通_ページ_2.jpg")</f>
        <v>ひ/ひ　痞満　1669　鍼灸枢要　山本玄通_ページ_2.jpg</v>
      </c>
    </row>
    <row r="4600" spans="1:2" x14ac:dyDescent="0.15">
      <c r="A4600" t="s">
        <v>4573</v>
      </c>
      <c r="B4600" t="str">
        <f>HYPERLINK("ひ/ひ　痞満　1669　鍼灸枢要　山本玄通_ページ_3.jpg")</f>
        <v>ひ/ひ　痞満　1669　鍼灸枢要　山本玄通_ページ_3.jpg</v>
      </c>
    </row>
    <row r="4601" spans="1:2" x14ac:dyDescent="0.15">
      <c r="A4601" t="s">
        <v>4574</v>
      </c>
      <c r="B4601" t="str">
        <f>HYPERLINK("ひ/ひ　痞満　1767　鍼灸則　菅沼周桂.jpg")</f>
        <v>ひ/ひ　痞満　1767　鍼灸則　菅沼周桂.jpg</v>
      </c>
    </row>
    <row r="4602" spans="1:2" x14ac:dyDescent="0.15">
      <c r="A4602" t="s">
        <v>4575</v>
      </c>
      <c r="B4602" t="str">
        <f>HYPERLINK("ひ/ひ　痞満　1800　鍼灸備要　小坂元祐.jpg")</f>
        <v>ひ/ひ　痞満　1800　鍼灸備要　小坂元祐.jpg</v>
      </c>
    </row>
    <row r="4603" spans="1:2" x14ac:dyDescent="0.15">
      <c r="A4603" t="s">
        <v>4576</v>
      </c>
      <c r="B4603" t="str">
        <f>HYPERLINK("ひ/ひ　痞満　つかえ　1686　鍼灸要法指南　岩田利斎.jpg")</f>
        <v>ひ/ひ　痞満　つかえ　1686　鍼灸要法指南　岩田利斎.jpg</v>
      </c>
    </row>
    <row r="4604" spans="1:2" x14ac:dyDescent="0.15">
      <c r="A4604" t="s">
        <v>4577</v>
      </c>
      <c r="B4604" t="str">
        <f>HYPERLINK("ひ/ひ　痺　0300　●陰受病発　第一上　鍼灸甲乙経　皇甫謐_ページ_1.jpg")</f>
        <v>ひ/ひ　痺　0300　●陰受病発　第一上　鍼灸甲乙経　皇甫謐_ページ_1.jpg</v>
      </c>
    </row>
    <row r="4605" spans="1:2" x14ac:dyDescent="0.15">
      <c r="A4605" t="s">
        <v>4578</v>
      </c>
      <c r="B4605" t="str">
        <f>HYPERLINK("ひ/ひ　痺　0300　●陰受病発　第一上　鍼灸甲乙経　皇甫謐_ページ_2.jpg")</f>
        <v>ひ/ひ　痺　0300　●陰受病発　第一上　鍼灸甲乙経　皇甫謐_ページ_2.jpg</v>
      </c>
    </row>
    <row r="4606" spans="1:2" x14ac:dyDescent="0.15">
      <c r="A4606" t="s">
        <v>4579</v>
      </c>
      <c r="B4606" t="str">
        <f>HYPERLINK("ひ/ひ　痺　0300　●陰受病発　第一上　鍼灸甲乙経　皇甫謐_ページ_3.jpg")</f>
        <v>ひ/ひ　痺　0300　●陰受病発　第一上　鍼灸甲乙経　皇甫謐_ページ_3.jpg</v>
      </c>
    </row>
    <row r="4607" spans="1:2" x14ac:dyDescent="0.15">
      <c r="A4607" t="s">
        <v>4580</v>
      </c>
      <c r="B4607" t="str">
        <f>HYPERLINK("ひ/ひ　痺　0300　●陰受病発　第一下　鍼灸甲乙経　皇甫謐_ページ_1.jpg")</f>
        <v>ひ/ひ　痺　0300　●陰受病発　第一下　鍼灸甲乙経　皇甫謐_ページ_1.jpg</v>
      </c>
    </row>
    <row r="4608" spans="1:2" x14ac:dyDescent="0.15">
      <c r="A4608" t="s">
        <v>4581</v>
      </c>
      <c r="B4608" t="str">
        <f>HYPERLINK("ひ/ひ　痺　0300　●陰受病発　第一下　鍼灸甲乙経　皇甫謐_ページ_2.jpg")</f>
        <v>ひ/ひ　痺　0300　●陰受病発　第一下　鍼灸甲乙経　皇甫謐_ページ_2.jpg</v>
      </c>
    </row>
    <row r="4609" spans="1:2" x14ac:dyDescent="0.15">
      <c r="A4609" t="s">
        <v>4582</v>
      </c>
      <c r="B4609" t="str">
        <f>HYPERLINK("ひ/ひ　痺　0300　●陰受病発　第一下　鍼灸甲乙経　皇甫謐_ページ_3.jpg")</f>
        <v>ひ/ひ　痺　0300　●陰受病発　第一下　鍼灸甲乙経　皇甫謐_ページ_3.jpg</v>
      </c>
    </row>
    <row r="4610" spans="1:2" x14ac:dyDescent="0.15">
      <c r="A4610" t="s">
        <v>4583</v>
      </c>
      <c r="B4610" t="str">
        <f>HYPERLINK("ひ/ひ　痺　0300　●陰受病発　第一下　鍼灸甲乙経　皇甫謐_ページ_4.jpg")</f>
        <v>ひ/ひ　痺　0300　●陰受病発　第一下　鍼灸甲乙経　皇甫謐_ページ_4.jpg</v>
      </c>
    </row>
    <row r="4611" spans="1:2" x14ac:dyDescent="0.15">
      <c r="A4611" t="s">
        <v>4584</v>
      </c>
      <c r="B4611" t="str">
        <f>HYPERLINK("ひ/ひ　痺　1680　鍼灸抜萃　著者未詳.jpg")</f>
        <v>ひ/ひ　痺　1680　鍼灸抜萃　著者未詳.jpg</v>
      </c>
    </row>
    <row r="4612" spans="1:2" x14ac:dyDescent="0.15">
      <c r="A4612" t="s">
        <v>4585</v>
      </c>
      <c r="B4612" t="str">
        <f>HYPERLINK("ひ/ひ　痺　1693　鍼灸要歌集　安井昌玄_ページ_1.jpg")</f>
        <v>ひ/ひ　痺　1693　鍼灸要歌集　安井昌玄_ページ_1.jpg</v>
      </c>
    </row>
    <row r="4613" spans="1:2" x14ac:dyDescent="0.15">
      <c r="A4613" t="s">
        <v>4586</v>
      </c>
      <c r="B4613" t="str">
        <f>HYPERLINK("ひ/ひ　痺　1693　鍼灸要歌集　安井昌玄_ページ_2.jpg")</f>
        <v>ひ/ひ　痺　1693　鍼灸要歌集　安井昌玄_ページ_2.jpg</v>
      </c>
    </row>
    <row r="4614" spans="1:2" x14ac:dyDescent="0.15">
      <c r="A4614" t="s">
        <v>4587</v>
      </c>
      <c r="B4614" t="str">
        <f>HYPERLINK("ひ/ひ　痺　1696　広益鍼灸抜萃　著者未詳_ページ_1.jpg")</f>
        <v>ひ/ひ　痺　1696　広益鍼灸抜萃　著者未詳_ページ_1.jpg</v>
      </c>
    </row>
    <row r="4615" spans="1:2" x14ac:dyDescent="0.15">
      <c r="A4615" t="s">
        <v>4588</v>
      </c>
      <c r="B4615" t="str">
        <f>HYPERLINK("ひ/ひ　痺　1696　広益鍼灸抜萃　著者未詳_ページ_2.jpg")</f>
        <v>ひ/ひ　痺　1696　広益鍼灸抜萃　著者未詳_ページ_2.jpg</v>
      </c>
    </row>
    <row r="4616" spans="1:2" x14ac:dyDescent="0.15">
      <c r="A4616" t="s">
        <v>4589</v>
      </c>
      <c r="B4616" t="str">
        <f>HYPERLINK("ひ/ひ　痺　1800　鍼灸備要　小坂元祐_ページ_1.jpg")</f>
        <v>ひ/ひ　痺　1800　鍼灸備要　小坂元祐_ページ_1.jpg</v>
      </c>
    </row>
    <row r="4617" spans="1:2" x14ac:dyDescent="0.15">
      <c r="A4617" t="s">
        <v>4590</v>
      </c>
      <c r="B4617" t="str">
        <f>HYPERLINK("ひ/ひ　痺　1800　鍼灸備要　小坂元祐_ページ_2.jpg")</f>
        <v>ひ/ひ　痺　1800　鍼灸備要　小坂元祐_ページ_2.jpg</v>
      </c>
    </row>
    <row r="4618" spans="1:2" x14ac:dyDescent="0.15">
      <c r="A4618" t="s">
        <v>4591</v>
      </c>
      <c r="B4618" t="str">
        <f>HYPERLINK("ひ/ひ　痺　1800　鍼灸備要　小坂元祐_ページ_3.jpg")</f>
        <v>ひ/ひ　痺　1800　鍼灸備要　小坂元祐_ページ_3.jpg</v>
      </c>
    </row>
    <row r="4619" spans="1:2" x14ac:dyDescent="0.15">
      <c r="A4619" t="s">
        <v>4592</v>
      </c>
      <c r="B4619" t="str">
        <f>HYPERLINK("ひ/ひ　痺厥部　1425　神応経　明・陳会撰・劉瑾重校.jpg")</f>
        <v>ひ/ひ　痺厥部　1425　神応経　明・陳会撰・劉瑾重校.jpg</v>
      </c>
    </row>
    <row r="4620" spans="1:2" x14ac:dyDescent="0.15">
      <c r="A4620" t="s">
        <v>4593</v>
      </c>
      <c r="B4620" t="str">
        <f>HYPERLINK("ひ/ひ　痺疳（ひかん）　おとみやみ　腸及腸間膜腺瘰癧及結核　1887（明治20）　鍼灸備要　青山道醇.jpg")</f>
        <v>ひ/ひ　痺疳（ひかん）　おとみやみ　腸及腸間膜腺瘰癧及結核　1887（明治20）　鍼灸備要　青山道醇.jpg</v>
      </c>
    </row>
    <row r="4621" spans="1:2" x14ac:dyDescent="0.15">
      <c r="A4621" t="s">
        <v>4594</v>
      </c>
      <c r="B4621" t="str">
        <f>HYPERLINK("ひ/ひ　痺症　附　痛風　1694　鍼灸そかい集　高津敬節_ページ_1.jpg")</f>
        <v>ひ/ひ　痺症　附　痛風　1694　鍼灸そかい集　高津敬節_ページ_1.jpg</v>
      </c>
    </row>
    <row r="4622" spans="1:2" x14ac:dyDescent="0.15">
      <c r="A4622" t="s">
        <v>4595</v>
      </c>
      <c r="B4622" t="str">
        <f>HYPERLINK("ひ/ひ　痺症　附　痛風　1694　鍼灸そかい集　高津敬節_ページ_2.jpg")</f>
        <v>ひ/ひ　痺症　附　痛風　1694　鍼灸そかい集　高津敬節_ページ_2.jpg</v>
      </c>
    </row>
    <row r="4623" spans="1:2" x14ac:dyDescent="0.15">
      <c r="A4623" t="s">
        <v>4596</v>
      </c>
      <c r="B4623" t="str">
        <f>HYPERLINK("ひ/ひ　痺痛　1718　鍼灸重宝記　本郷正豊_ページ_1.jpg")</f>
        <v>ひ/ひ　痺痛　1718　鍼灸重宝記　本郷正豊_ページ_1.jpg</v>
      </c>
    </row>
    <row r="4624" spans="1:2" x14ac:dyDescent="0.15">
      <c r="A4624" t="s">
        <v>4597</v>
      </c>
      <c r="B4624" t="str">
        <f>HYPERLINK("ひ/ひ　痺痛　1718　鍼灸重宝記　本郷正豊_ページ_2.jpg")</f>
        <v>ひ/ひ　痺痛　1718　鍼灸重宝記　本郷正豊_ページ_2.jpg</v>
      </c>
    </row>
    <row r="4625" spans="1:2" x14ac:dyDescent="0.15">
      <c r="A4625" t="s">
        <v>4598</v>
      </c>
      <c r="B4625" t="str">
        <f>HYPERLINK("ひ/ひ　痺証　1669　鍼灸枢要　山本玄通_ページ_01.jpg")</f>
        <v>ひ/ひ　痺証　1669　鍼灸枢要　山本玄通_ページ_01.jpg</v>
      </c>
    </row>
    <row r="4626" spans="1:2" x14ac:dyDescent="0.15">
      <c r="A4626" t="s">
        <v>4599</v>
      </c>
      <c r="B4626" t="str">
        <f>HYPERLINK("ひ/ひ　痺証　1669　鍼灸枢要　山本玄通_ページ_02.jpg")</f>
        <v>ひ/ひ　痺証　1669　鍼灸枢要　山本玄通_ページ_02.jpg</v>
      </c>
    </row>
    <row r="4627" spans="1:2" x14ac:dyDescent="0.15">
      <c r="A4627" t="s">
        <v>4600</v>
      </c>
      <c r="B4627" t="str">
        <f>HYPERLINK("ひ/ひ　痺証　1669　鍼灸枢要　山本玄通_ページ_03.jpg")</f>
        <v>ひ/ひ　痺証　1669　鍼灸枢要　山本玄通_ページ_03.jpg</v>
      </c>
    </row>
    <row r="4628" spans="1:2" x14ac:dyDescent="0.15">
      <c r="A4628" t="s">
        <v>4601</v>
      </c>
      <c r="B4628" t="str">
        <f>HYPERLINK("ひ/ひ　痺証　1669　鍼灸枢要　山本玄通_ページ_04.jpg")</f>
        <v>ひ/ひ　痺証　1669　鍼灸枢要　山本玄通_ページ_04.jpg</v>
      </c>
    </row>
    <row r="4629" spans="1:2" x14ac:dyDescent="0.15">
      <c r="A4629" t="s">
        <v>4602</v>
      </c>
      <c r="B4629" t="str">
        <f>HYPERLINK("ひ/ひ　痺証　1669　鍼灸枢要　山本玄通_ページ_05.jpg")</f>
        <v>ひ/ひ　痺証　1669　鍼灸枢要　山本玄通_ページ_05.jpg</v>
      </c>
    </row>
    <row r="4630" spans="1:2" x14ac:dyDescent="0.15">
      <c r="A4630" t="s">
        <v>4603</v>
      </c>
      <c r="B4630" t="str">
        <f>HYPERLINK("ひ/ひ　痺証　1669　鍼灸枢要　山本玄通_ページ_06.jpg")</f>
        <v>ひ/ひ　痺証　1669　鍼灸枢要　山本玄通_ページ_06.jpg</v>
      </c>
    </row>
    <row r="4631" spans="1:2" x14ac:dyDescent="0.15">
      <c r="A4631" t="s">
        <v>4604</v>
      </c>
      <c r="B4631" t="str">
        <f>HYPERLINK("ひ/ひ　痺証　1669　鍼灸枢要　山本玄通_ページ_07.jpg")</f>
        <v>ひ/ひ　痺証　1669　鍼灸枢要　山本玄通_ページ_07.jpg</v>
      </c>
    </row>
    <row r="4632" spans="1:2" x14ac:dyDescent="0.15">
      <c r="A4632" t="s">
        <v>4605</v>
      </c>
      <c r="B4632" t="str">
        <f>HYPERLINK("ひ/ひ　痺証　1669　鍼灸枢要　山本玄通_ページ_08.jpg")</f>
        <v>ひ/ひ　痺証　1669　鍼灸枢要　山本玄通_ページ_08.jpg</v>
      </c>
    </row>
    <row r="4633" spans="1:2" x14ac:dyDescent="0.15">
      <c r="A4633" t="s">
        <v>4606</v>
      </c>
      <c r="B4633" t="str">
        <f>HYPERLINK("ひ/ひ　痺証　1669　鍼灸枢要　山本玄通_ページ_09.jpg")</f>
        <v>ひ/ひ　痺証　1669　鍼灸枢要　山本玄通_ページ_09.jpg</v>
      </c>
    </row>
    <row r="4634" spans="1:2" x14ac:dyDescent="0.15">
      <c r="A4634" t="s">
        <v>4607</v>
      </c>
      <c r="B4634" t="str">
        <f>HYPERLINK("ひ/ひ　痺証　1669　鍼灸枢要　山本玄通_ページ_10.jpg")</f>
        <v>ひ/ひ　痺証　1669　鍼灸枢要　山本玄通_ページ_10.jpg</v>
      </c>
    </row>
    <row r="4635" spans="1:2" x14ac:dyDescent="0.15">
      <c r="A4635" t="s">
        <v>4608</v>
      </c>
      <c r="B4635" t="str">
        <f>HYPERLINK("ひ/ひ　痺証痿証　1792　鍼法要集　源長起_ページ_1.jpg")</f>
        <v>ひ/ひ　痺証痿証　1792　鍼法要集　源長起_ページ_1.jpg</v>
      </c>
    </row>
    <row r="4636" spans="1:2" x14ac:dyDescent="0.15">
      <c r="A4636" t="s">
        <v>4609</v>
      </c>
      <c r="B4636" t="str">
        <f>HYPERLINK("ひ/ひ　痺証痿証　1792　鍼法要集　源長起_ページ_2.jpg")</f>
        <v>ひ/ひ　痺証痿証　1792　鍼法要集　源長起_ページ_2.jpg</v>
      </c>
    </row>
    <row r="4637" spans="1:2" x14ac:dyDescent="0.15">
      <c r="A4637" t="s">
        <v>4610</v>
      </c>
      <c r="B4637" t="str">
        <f>HYPERLINK("ひ/ひ　痺証痿証　1792　鍼法要集　源長起_ページ_3.jpg")</f>
        <v>ひ/ひ　痺証痿証　1792　鍼法要集　源長起_ページ_3.jpg</v>
      </c>
    </row>
    <row r="4638" spans="1:2" x14ac:dyDescent="0.15">
      <c r="A4638" t="s">
        <v>4611</v>
      </c>
      <c r="B4638" t="str">
        <f>HYPERLINK("ひ/ひ　皮膚　1669　鍼灸枢要　山本玄通.jpg")</f>
        <v>ひ/ひ　皮膚　1669　鍼灸枢要　山本玄通.jpg</v>
      </c>
    </row>
    <row r="4639" spans="1:2" x14ac:dyDescent="0.15">
      <c r="A4639" t="s">
        <v>4612</v>
      </c>
      <c r="B4639" t="str">
        <f>HYPERLINK("ひ/ひ　秘結　1563　鍼灸集要　曲直瀬道三.jpg")</f>
        <v>ひ/ひ　秘結　1563　鍼灸集要　曲直瀬道三.jpg</v>
      </c>
    </row>
    <row r="4640" spans="1:2" x14ac:dyDescent="0.15">
      <c r="A4640" t="s">
        <v>4613</v>
      </c>
      <c r="B4640" t="str">
        <f>HYPERLINK("ひ/ひ　秘結　1680　鍼灸抜萃　著者未詳.jpg")</f>
        <v>ひ/ひ　秘結　1680　鍼灸抜萃　著者未詳.jpg</v>
      </c>
    </row>
    <row r="4641" spans="1:2" x14ac:dyDescent="0.15">
      <c r="A4641" t="s">
        <v>4614</v>
      </c>
      <c r="B4641" t="str">
        <f>HYPERLINK("ひ/ひ　秘結　1693　鍼灸要歌集　安井昌玄_ページ_1.jpg")</f>
        <v>ひ/ひ　秘結　1693　鍼灸要歌集　安井昌玄_ページ_1.jpg</v>
      </c>
    </row>
    <row r="4642" spans="1:2" x14ac:dyDescent="0.15">
      <c r="A4642" t="s">
        <v>4615</v>
      </c>
      <c r="B4642" t="str">
        <f>HYPERLINK("ひ/ひ　秘結　1693　鍼灸要歌集　安井昌玄_ページ_2.jpg")</f>
        <v>ひ/ひ　秘結　1693　鍼灸要歌集　安井昌玄_ページ_2.jpg</v>
      </c>
    </row>
    <row r="4643" spans="1:2" x14ac:dyDescent="0.15">
      <c r="A4643" t="s">
        <v>4616</v>
      </c>
      <c r="B4643" t="str">
        <f>HYPERLINK("ひ/ひ　秘結　1693　鍼灸要歌集　安井昌玄_ページ_3.jpg")</f>
        <v>ひ/ひ　秘結　1693　鍼灸要歌集　安井昌玄_ページ_3.jpg</v>
      </c>
    </row>
    <row r="4644" spans="1:2" x14ac:dyDescent="0.15">
      <c r="A4644" t="s">
        <v>4617</v>
      </c>
      <c r="B4644" t="str">
        <f>HYPERLINK("ひ/ひ　秘結　1694　鍼灸そかい集　高津敬節.jpg")</f>
        <v>ひ/ひ　秘結　1694　鍼灸そかい集　高津敬節.jpg</v>
      </c>
    </row>
    <row r="4645" spans="1:2" x14ac:dyDescent="0.15">
      <c r="A4645" t="s">
        <v>4618</v>
      </c>
      <c r="B4645" t="str">
        <f>HYPERLINK("ひ/ひ　秘結　1696　広益鍼灸抜萃　著者未詳_ページ_1.jpg")</f>
        <v>ひ/ひ　秘結　1696　広益鍼灸抜萃　著者未詳_ページ_1.jpg</v>
      </c>
    </row>
    <row r="4646" spans="1:2" x14ac:dyDescent="0.15">
      <c r="A4646" t="s">
        <v>4619</v>
      </c>
      <c r="B4646" t="str">
        <f>HYPERLINK("ひ/ひ　秘結　1696　広益鍼灸抜萃　著者未詳_ページ_2.jpg")</f>
        <v>ひ/ひ　秘結　1696　広益鍼灸抜萃　著者未詳_ページ_2.jpg</v>
      </c>
    </row>
    <row r="4647" spans="1:2" x14ac:dyDescent="0.15">
      <c r="A4647" t="s">
        <v>4620</v>
      </c>
      <c r="B4647" t="str">
        <f>HYPERLINK("ひ/ひ　秘結　1698　鍼灸抜粋大成　岡本一抱.jpg")</f>
        <v>ひ/ひ　秘結　1698　鍼灸抜粋大成　岡本一抱.jpg</v>
      </c>
    </row>
    <row r="4648" spans="1:2" x14ac:dyDescent="0.15">
      <c r="A4648" t="s">
        <v>4621</v>
      </c>
      <c r="B4648" t="str">
        <f>HYPERLINK("ひ/ひ　秘結　1773　鍼灸手引草　大簡室主人_ページ_1.jpg")</f>
        <v>ひ/ひ　秘結　1773　鍼灸手引草　大簡室主人_ページ_1.jpg</v>
      </c>
    </row>
    <row r="4649" spans="1:2" x14ac:dyDescent="0.15">
      <c r="A4649" t="s">
        <v>4622</v>
      </c>
      <c r="B4649" t="str">
        <f>HYPERLINK("ひ/ひ　秘結　1773　鍼灸手引草　大簡室主人_ページ_2.jpg")</f>
        <v>ひ/ひ　秘結　1773　鍼灸手引草　大簡室主人_ページ_2.jpg</v>
      </c>
    </row>
    <row r="4650" spans="1:2" x14ac:dyDescent="0.15">
      <c r="A4650" t="s">
        <v>4623</v>
      </c>
      <c r="B4650" t="str">
        <f>HYPERLINK("ひ/ひ　秘結　1785　鍼書　本城義軒.jpg")</f>
        <v>ひ/ひ　秘結　1785　鍼書　本城義軒.jpg</v>
      </c>
    </row>
    <row r="4651" spans="1:2" x14ac:dyDescent="0.15">
      <c r="A4651" t="s">
        <v>4624</v>
      </c>
      <c r="B4651" t="str">
        <f>HYPERLINK("ひ/ひ　秘結　1792　鍼法要集　源長起_ページ_1.jpg")</f>
        <v>ひ/ひ　秘結　1792　鍼法要集　源長起_ページ_1.jpg</v>
      </c>
    </row>
    <row r="4652" spans="1:2" x14ac:dyDescent="0.15">
      <c r="A4652" t="s">
        <v>4625</v>
      </c>
      <c r="B4652" t="str">
        <f>HYPERLINK("ひ/ひ　秘結　1792　鍼法要集　源長起_ページ_2.jpg")</f>
        <v>ひ/ひ　秘結　1792　鍼法要集　源長起_ページ_2.jpg</v>
      </c>
    </row>
    <row r="4653" spans="1:2" x14ac:dyDescent="0.15">
      <c r="A4653" t="s">
        <v>4626</v>
      </c>
      <c r="B4653" t="str">
        <f>HYPERLINK("ひ/ひ　秘結　1792　鍼法要集　源長起_ページ_3.jpg")</f>
        <v>ひ/ひ　秘結　1792　鍼法要集　源長起_ページ_3.jpg</v>
      </c>
    </row>
    <row r="4654" spans="1:2" x14ac:dyDescent="0.15">
      <c r="A4654" t="s">
        <v>4627</v>
      </c>
      <c r="B4654" t="str">
        <f>HYPERLINK("ひ/ひ　秘結　だいべんつうぜず　1718　鍼灸重宝記　本郷正豊.jpg")</f>
        <v>ひ/ひ　秘結　だいべんつうぜず　1718　鍼灸重宝記　本郷正豊.jpg</v>
      </c>
    </row>
    <row r="4655" spans="1:2" x14ac:dyDescent="0.15">
      <c r="A4655" t="s">
        <v>4628</v>
      </c>
      <c r="B4655" t="str">
        <f>HYPERLINK("ひ/ひ　秘結　大便の結する病なり　1694　療治之大概集　杉山和一.jpg")</f>
        <v>ひ/ひ　秘結　大便の結する病なり　1694　療治之大概集　杉山和一.jpg</v>
      </c>
    </row>
    <row r="4656" spans="1:2" x14ac:dyDescent="0.15">
      <c r="A4656" t="s">
        <v>4629</v>
      </c>
      <c r="B4656" t="str">
        <f>HYPERLINK("ひ/ひ　脾の積　1607　扁鵲新流鍼書　越齋寿閑_ページ_1.jpg")</f>
        <v>ひ/ひ　脾の積　1607　扁鵲新流鍼書　越齋寿閑_ページ_1.jpg</v>
      </c>
    </row>
    <row r="4657" spans="1:2" x14ac:dyDescent="0.15">
      <c r="A4657" t="s">
        <v>4630</v>
      </c>
      <c r="B4657" t="str">
        <f>HYPERLINK("ひ/ひ　脾の積　1607　扁鵲新流鍼書　越齋寿閑_ページ_2.jpg")</f>
        <v>ひ/ひ　脾の積　1607　扁鵲新流鍼書　越齋寿閑_ページ_2.jpg</v>
      </c>
    </row>
    <row r="4658" spans="1:2" x14ac:dyDescent="0.15">
      <c r="A4658" t="s">
        <v>4631</v>
      </c>
      <c r="B4658" t="str">
        <f>HYPERLINK("ひ/ひ　脾疼（余見心腹痛）　1220　鍼灸資生経　王執中_ページ_1.jpg")</f>
        <v>ひ/ひ　脾疼（余見心腹痛）　1220　鍼灸資生経　王執中_ページ_1.jpg</v>
      </c>
    </row>
    <row r="4659" spans="1:2" x14ac:dyDescent="0.15">
      <c r="A4659" t="s">
        <v>4632</v>
      </c>
      <c r="B4659" t="str">
        <f>HYPERLINK("ひ/ひ　脾疼（余見心腹痛）　1220　鍼灸資生経　王執中_ページ_2.jpg")</f>
        <v>ひ/ひ　脾疼（余見心腹痛）　1220　鍼灸資生経　王執中_ページ_2.jpg</v>
      </c>
    </row>
    <row r="4660" spans="1:2" x14ac:dyDescent="0.15">
      <c r="A4660" t="s">
        <v>4633</v>
      </c>
      <c r="B4660" t="str">
        <f>HYPERLINK("ひ/ひ　脾疾翻胃　1329　扁鵲神応鍼灸玉龍経　元・王国瑞.jpg")</f>
        <v>ひ/ひ　脾疾翻胃　1329　扁鵲神応鍼灸玉龍経　元・王国瑞.jpg</v>
      </c>
    </row>
    <row r="4661" spans="1:2" x14ac:dyDescent="0.15">
      <c r="A4661" t="s">
        <v>4634</v>
      </c>
      <c r="B4661" t="str">
        <f>HYPERLINK("ひ/ひ　脾積名痞気、横在臍上二寸　1694　選鍼三要集　杉山和一.jpg")</f>
        <v>ひ/ひ　脾積名痞気、横在臍上二寸　1694　選鍼三要集　杉山和一.jpg</v>
      </c>
    </row>
    <row r="4662" spans="1:2" x14ac:dyDescent="0.15">
      <c r="A4662" t="s">
        <v>4635</v>
      </c>
      <c r="B4662" t="str">
        <f>HYPERLINK("ひ/ひ　脾胃虚弱　1329　扁鵲神応鍼灸玉龍経　元・王国瑞_ページ_1.jpg")</f>
        <v>ひ/ひ　脾胃虚弱　1329　扁鵲神応鍼灸玉龍経　元・王国瑞_ページ_1.jpg</v>
      </c>
    </row>
    <row r="4663" spans="1:2" x14ac:dyDescent="0.15">
      <c r="A4663" t="s">
        <v>4636</v>
      </c>
      <c r="B4663" t="str">
        <f>HYPERLINK("ひ/ひ　脾胃虚弱　1329　扁鵲神応鍼灸玉龍経　元・王国瑞_ページ_2.jpg")</f>
        <v>ひ/ひ　脾胃虚弱　1329　扁鵲神応鍼灸玉龍経　元・王国瑞_ページ_2.jpg</v>
      </c>
    </row>
    <row r="4664" spans="1:2" x14ac:dyDescent="0.15">
      <c r="A4664" t="s">
        <v>4637</v>
      </c>
      <c r="B4664" t="str">
        <f>HYPERLINK("ひ/ひ　脾胃虚弱，心腹脹満，不思飲食，腸鳴腹痛，食不可　1315　鍼経摘英集　元・杜思敬「済生抜粋方」_ページ_1.jpg")</f>
        <v>ひ/ひ　脾胃虚弱，心腹脹満，不思飲食，腸鳴腹痛，食不可　1315　鍼経摘英集　元・杜思敬「済生抜粋方」_ページ_1.jpg</v>
      </c>
    </row>
    <row r="4665" spans="1:2" x14ac:dyDescent="0.15">
      <c r="A4665" t="s">
        <v>4638</v>
      </c>
      <c r="B4665" t="str">
        <f>HYPERLINK("ひ/ひ　脾胃虚弱，心腹脹満，不思飲食，腸鳴腹痛，食不可　1315　鍼経摘英集　元・杜思敬「済生抜粋方」_ページ_2.jpg")</f>
        <v>ひ/ひ　脾胃虚弱，心腹脹満，不思飲食，腸鳴腹痛，食不可　1315　鍼経摘英集　元・杜思敬「済生抜粋方」_ページ_2.jpg</v>
      </c>
    </row>
    <row r="4666" spans="1:2" x14ac:dyDescent="0.15">
      <c r="A4666" t="s">
        <v>4639</v>
      </c>
      <c r="B4666" t="str">
        <f>HYPERLINK("ひ/ひ　臂痛　1220　鍼灸資生経　王執中_ページ_1.jpg")</f>
        <v>ひ/ひ　臂痛　1220　鍼灸資生経　王執中_ページ_1.jpg</v>
      </c>
    </row>
    <row r="4667" spans="1:2" x14ac:dyDescent="0.15">
      <c r="A4667" t="s">
        <v>4640</v>
      </c>
      <c r="B4667" t="str">
        <f>HYPERLINK("ひ/ひ　臂痛　1220　鍼灸資生経　王執中_ページ_2.jpg")</f>
        <v>ひ/ひ　臂痛　1220　鍼灸資生経　王執中_ページ_2.jpg</v>
      </c>
    </row>
    <row r="4668" spans="1:2" x14ac:dyDescent="0.15">
      <c r="A4668" t="s">
        <v>4641</v>
      </c>
      <c r="B4668" t="str">
        <f>HYPERLINK("ひ/ひ　臂痛　1329　扁鵲神応鍼灸玉龍経　元・王国瑞_ページ_1.jpg")</f>
        <v>ひ/ひ　臂痛　1329　扁鵲神応鍼灸玉龍経　元・王国瑞_ページ_1.jpg</v>
      </c>
    </row>
    <row r="4669" spans="1:2" x14ac:dyDescent="0.15">
      <c r="A4669" t="s">
        <v>4642</v>
      </c>
      <c r="B4669" t="str">
        <f>HYPERLINK("ひ/ひ　臂痛　1329　扁鵲神応鍼灸玉龍経　元・王国瑞_ページ_2.jpg")</f>
        <v>ひ/ひ　臂痛　1329　扁鵲神応鍼灸玉龍経　元・王国瑞_ページ_2.jpg</v>
      </c>
    </row>
    <row r="4670" spans="1:2" x14ac:dyDescent="0.15">
      <c r="A4670" t="s">
        <v>4643</v>
      </c>
      <c r="B4670" t="str">
        <f>HYPERLINK("ひ/ひ　臂痛　1767　鍼灸則　菅沼周桂.jpg")</f>
        <v>ひ/ひ　臂痛　1767　鍼灸則　菅沼周桂.jpg</v>
      </c>
    </row>
    <row r="4671" spans="1:2" x14ac:dyDescent="0.15">
      <c r="A4671" t="s">
        <v>4644</v>
      </c>
      <c r="B4671" t="str">
        <f>HYPERLINK("ひ/ひ　臂痛　1780　ひじのいたみ　鍼灸極秘伝　木村太沖.jpg")</f>
        <v>ひ/ひ　臂痛　1780　ひじのいたみ　鍼灸極秘伝　木村太沖.jpg</v>
      </c>
    </row>
    <row r="4672" spans="1:2" x14ac:dyDescent="0.15">
      <c r="A4672" t="s">
        <v>4645</v>
      </c>
      <c r="B4672" t="str">
        <f>HYPERLINK("ひ/ひ　臂痛　1813　名家灸選三編　平井庸信_ページ_1.jpg")</f>
        <v>ひ/ひ　臂痛　1813　名家灸選三編　平井庸信_ページ_1.jpg</v>
      </c>
    </row>
    <row r="4673" spans="1:2" x14ac:dyDescent="0.15">
      <c r="A4673" t="s">
        <v>4646</v>
      </c>
      <c r="B4673" t="str">
        <f>HYPERLINK("ひ/ひ　臂痛　1813　名家灸選三編　平井庸信_ページ_2.jpg")</f>
        <v>ひ/ひ　臂痛　1813　名家灸選三編　平井庸信_ページ_2.jpg</v>
      </c>
    </row>
    <row r="4674" spans="1:2" x14ac:dyDescent="0.15">
      <c r="A4674" t="s">
        <v>4647</v>
      </c>
      <c r="B4674" t="str">
        <f>HYPERLINK("ひ/ひ　臂痛不挙　1624　類経図翼　明・張介賓.jpg")</f>
        <v>ひ/ひ　臂痛不挙　1624　類経図翼　明・張介賓.jpg</v>
      </c>
    </row>
    <row r="4675" spans="1:2" x14ac:dyDescent="0.15">
      <c r="A4675" t="s">
        <v>4648</v>
      </c>
      <c r="B4675" t="str">
        <f>HYPERLINK("ひ/ひ　臂痛（ひつう）　ひじのいたむ病　臂節（ひせつ）神経痛　1887（明治20）　鍼灸備要　青山道醇.jpg")</f>
        <v>ひ/ひ　臂痛（ひつう）　ひじのいたむ病　臂節（ひせつ）神経痛　1887（明治20）　鍼灸備要　青山道醇.jpg</v>
      </c>
    </row>
    <row r="4676" spans="1:2" x14ac:dyDescent="0.15">
      <c r="A4676" t="s">
        <v>4649</v>
      </c>
      <c r="B4676" t="str">
        <f>HYPERLINK("ひ/ひ　臂細筋寒骨痛　1329　扁鵲神応鍼灸玉龍経　元・王国瑞.jpg")</f>
        <v>ひ/ひ　臂細筋寒骨痛　1329　扁鵲神応鍼灸玉龍経　元・王国瑞.jpg</v>
      </c>
    </row>
    <row r="4677" spans="1:2" x14ac:dyDescent="0.15">
      <c r="A4677" t="s">
        <v>4650</v>
      </c>
      <c r="B4677" t="str">
        <f>HYPERLINK("ひ/ひ　臂肘病　0650　千金方　孫思ばく_ページ_1.jpg")</f>
        <v>ひ/ひ　臂肘病　0650　千金方　孫思ばく_ページ_1.jpg</v>
      </c>
    </row>
    <row r="4678" spans="1:2" x14ac:dyDescent="0.15">
      <c r="A4678" t="s">
        <v>4651</v>
      </c>
      <c r="B4678" t="str">
        <f>HYPERLINK("ひ/ひ　臂肘病　0650　千金方　孫思ばく_ページ_2.jpg")</f>
        <v>ひ/ひ　臂肘病　0650　千金方　孫思ばく_ページ_2.jpg</v>
      </c>
    </row>
    <row r="4679" spans="1:2" x14ac:dyDescent="0.15">
      <c r="A4679" t="s">
        <v>4652</v>
      </c>
      <c r="B4679" t="str">
        <f>HYPERLINK("ひ/ひ　臂腕痛　1329　扁鵲神応鍼灸玉龍経　元・王国瑞_ページ_1.jpg")</f>
        <v>ひ/ひ　臂腕痛　1329　扁鵲神応鍼灸玉龍経　元・王国瑞_ページ_1.jpg</v>
      </c>
    </row>
    <row r="4680" spans="1:2" x14ac:dyDescent="0.15">
      <c r="A4680" t="s">
        <v>4653</v>
      </c>
      <c r="B4680" t="str">
        <f>HYPERLINK("ひ/ひ　臂腕痛　1329　扁鵲神応鍼灸玉龍経　元・王国瑞_ページ_2.jpg")</f>
        <v>ひ/ひ　臂腕痛　1329　扁鵲神応鍼灸玉龍経　元・王国瑞_ページ_2.jpg</v>
      </c>
    </row>
    <row r="4681" spans="1:2" x14ac:dyDescent="0.15">
      <c r="A4681" t="s">
        <v>4654</v>
      </c>
      <c r="B4681" t="str">
        <f>HYPERLINK("ひ/ひ　臂膊疼痛不可忍　1315　鍼経摘英集　元・杜思敬「済生抜粋方」.jpg")</f>
        <v>ひ/ひ　臂膊疼痛不可忍　1315　鍼経摘英集　元・杜思敬「済生抜粋方」.jpg</v>
      </c>
    </row>
    <row r="4682" spans="1:2" x14ac:dyDescent="0.15">
      <c r="A4682" t="s">
        <v>4655</v>
      </c>
      <c r="B4682" t="str">
        <f>HYPERLINK("ひ/ひ　飛尺遁注　0650　千金方　孫思ばく.jpg")</f>
        <v>ひ/ひ　飛尺遁注　0650　千金方　孫思ばく.jpg</v>
      </c>
    </row>
    <row r="4683" spans="1:2" x14ac:dyDescent="0.15">
      <c r="A4683" t="s">
        <v>4656</v>
      </c>
      <c r="B4683" t="str">
        <f>HYPERLINK("ひ/ひふ　皮膚中毒風　1226　備急灸法　宋・聞人耆年_ページ_1.jpg")</f>
        <v>ひ/ひふ　皮膚中毒風　1226　備急灸法　宋・聞人耆年_ページ_1.jpg</v>
      </c>
    </row>
    <row r="4684" spans="1:2" x14ac:dyDescent="0.15">
      <c r="A4684" t="s">
        <v>4657</v>
      </c>
      <c r="B4684" t="str">
        <f>HYPERLINK("ひ/ひふ　皮膚中毒風　1226　備急灸法　宋・聞人耆年_ページ_2.jpg")</f>
        <v>ひ/ひふ　皮膚中毒風　1226　備急灸法　宋・聞人耆年_ページ_2.jpg</v>
      </c>
    </row>
    <row r="4685" spans="1:2" x14ac:dyDescent="0.15">
      <c r="A4685" t="s">
        <v>4658</v>
      </c>
      <c r="B4685" t="str">
        <f>HYPERLINK("ひ/ひゃく　百日咳　くづめき、又、けいけいしやぶき　痙攣がい　1887（明治20）　鍼灸備要　青山道醇.jpg")</f>
        <v>ひ/ひゃく　百日咳　くづめき、又、けいけいしやぶき　痙攣がい　1887（明治20）　鍼灸備要　青山道醇.jpg</v>
      </c>
    </row>
    <row r="4686" spans="1:2" x14ac:dyDescent="0.15">
      <c r="A4686" t="s">
        <v>4659</v>
      </c>
      <c r="B4686" t="str">
        <f>HYPERLINK("ひ/ひょう　ひょう疽　成書年未詳　灸穴集　著者未詳.jpg")</f>
        <v>ひ/ひょう　ひょう疽　成書年未詳　灸穴集　著者未詳.jpg</v>
      </c>
    </row>
    <row r="4687" spans="1:2" x14ac:dyDescent="0.15">
      <c r="A4687" t="s">
        <v>4660</v>
      </c>
      <c r="B4687" t="str">
        <f>HYPERLINK("ひ/ひょう　ひょう疽　頭面瘡　腸癰　1807　続名家灸選　平井庸信_ページ_1.jpg")</f>
        <v>ひ/ひょう　ひょう疽　頭面瘡　腸癰　1807　続名家灸選　平井庸信_ページ_1.jpg</v>
      </c>
    </row>
    <row r="4688" spans="1:2" x14ac:dyDescent="0.15">
      <c r="A4688" t="s">
        <v>4661</v>
      </c>
      <c r="B4688" t="str">
        <f>HYPERLINK("ひ/ひょう　ひょう疽　頭面瘡　腸癰　1807　続名家灸選　平井庸信_ページ_2.jpg")</f>
        <v>ひ/ひょう　ひょう疽　頭面瘡　腸癰　1807　続名家灸選　平井庸信_ページ_2.jpg</v>
      </c>
    </row>
    <row r="4689" spans="1:2" x14ac:dyDescent="0.15">
      <c r="A4689" t="s">
        <v>4662</v>
      </c>
      <c r="B4689" t="str">
        <f>HYPERLINK("ひ/ひょう　ひょう疽　頭面瘡　腸癰　1807　続名家灸選　平井庸信_ページ_3.jpg")</f>
        <v>ひ/ひょう　ひょう疽　頭面瘡　腸癰　1807　続名家灸選　平井庸信_ページ_3.jpg</v>
      </c>
    </row>
    <row r="4690" spans="1:2" x14ac:dyDescent="0.15">
      <c r="A4690" t="s">
        <v>4663</v>
      </c>
      <c r="B4690" t="str">
        <f>HYPERLINK("び/び　両眉角痛風熱并疾　1794　杉山流鍼術　島浦和田一.jpg")</f>
        <v>び/び　両眉角痛風熱并疾　1794　杉山流鍼術　島浦和田一.jpg</v>
      </c>
    </row>
    <row r="4691" spans="1:2" x14ac:dyDescent="0.15">
      <c r="A4691" t="s">
        <v>4664</v>
      </c>
      <c r="B4691" t="str">
        <f>HYPERLINK("び/び　眉攅内疼痛不可忍者　1315　鍼経摘英集　元・杜思敬「済生抜粋方」.jpg")</f>
        <v>び/び　眉攅内疼痛不可忍者　1315　鍼経摘英集　元・杜思敬「済生抜粋方」.jpg</v>
      </c>
    </row>
    <row r="4692" spans="1:2" x14ac:dyDescent="0.15">
      <c r="A4692" t="s">
        <v>4665</v>
      </c>
      <c r="B4692" t="str">
        <f>HYPERLINK("び/び　眉目間痛　1329　扁鵲神応鍼灸玉龍経　元・王国瑞_ページ_1.jpg")</f>
        <v>び/び　眉目間痛　1329　扁鵲神応鍼灸玉龍経　元・王国瑞_ページ_1.jpg</v>
      </c>
    </row>
    <row r="4693" spans="1:2" x14ac:dyDescent="0.15">
      <c r="A4693" t="s">
        <v>4666</v>
      </c>
      <c r="B4693" t="str">
        <f>HYPERLINK("び/び　眉目間痛　1329　扁鵲神応鍼灸玉龍経　元・王国瑞_ページ_2.jpg")</f>
        <v>び/び　眉目間痛　1329　扁鵲神応鍼灸玉龍経　元・王国瑞_ページ_2.jpg</v>
      </c>
    </row>
    <row r="4694" spans="1:2" x14ac:dyDescent="0.15">
      <c r="A4694" t="s">
        <v>4667</v>
      </c>
      <c r="B4694" t="str">
        <f>HYPERLINK("び/び　鼻　0650　千金方　孫思ばく_ページ_1.jpg")</f>
        <v>び/び　鼻　0650　千金方　孫思ばく_ページ_1.jpg</v>
      </c>
    </row>
    <row r="4695" spans="1:2" x14ac:dyDescent="0.15">
      <c r="A4695" t="s">
        <v>4668</v>
      </c>
      <c r="B4695" t="str">
        <f>HYPERLINK("び/び　鼻　0650　千金方　孫思ばく_ページ_2.jpg")</f>
        <v>び/び　鼻　0650　千金方　孫思ばく_ページ_2.jpg</v>
      </c>
    </row>
    <row r="4696" spans="1:2" x14ac:dyDescent="0.15">
      <c r="A4696" t="s">
        <v>4669</v>
      </c>
      <c r="B4696" t="str">
        <f>HYPERLINK("び/び　鼻　1563　鍼灸集要　曲直瀬道三.jpg")</f>
        <v>び/び　鼻　1563　鍼灸集要　曲直瀬道三.jpg</v>
      </c>
    </row>
    <row r="4697" spans="1:2" x14ac:dyDescent="0.15">
      <c r="A4697" t="s">
        <v>4670</v>
      </c>
      <c r="B4697" t="str">
        <f>HYPERLINK("び/び　鼻　1574　兪穴参伍的法　秦宗巴_ページ_1.jpg")</f>
        <v>び/び　鼻　1574　兪穴参伍的法　秦宗巴_ページ_1.jpg</v>
      </c>
    </row>
    <row r="4698" spans="1:2" x14ac:dyDescent="0.15">
      <c r="A4698" t="s">
        <v>4671</v>
      </c>
      <c r="B4698" t="str">
        <f>HYPERLINK("び/び　鼻　1574　兪穴参伍的法　秦宗巴_ページ_2.jpg")</f>
        <v>び/び　鼻　1574　兪穴参伍的法　秦宗巴_ページ_2.jpg</v>
      </c>
    </row>
    <row r="4699" spans="1:2" x14ac:dyDescent="0.15">
      <c r="A4699" t="s">
        <v>4672</v>
      </c>
      <c r="B4699" t="str">
        <f>HYPERLINK("び/び　鼻　1669　鍼灸枢要　山本玄通_ページ_1.jpg")</f>
        <v>び/び　鼻　1669　鍼灸枢要　山本玄通_ページ_1.jpg</v>
      </c>
    </row>
    <row r="4700" spans="1:2" x14ac:dyDescent="0.15">
      <c r="A4700" t="s">
        <v>4673</v>
      </c>
      <c r="B4700" t="str">
        <f>HYPERLINK("び/び　鼻　1669　鍼灸枢要　山本玄通_ページ_2.jpg")</f>
        <v>び/び　鼻　1669　鍼灸枢要　山本玄通_ページ_2.jpg</v>
      </c>
    </row>
    <row r="4701" spans="1:2" x14ac:dyDescent="0.15">
      <c r="A4701" t="s">
        <v>4674</v>
      </c>
      <c r="B4701" t="str">
        <f>HYPERLINK("び/び　鼻　1669　鍼灸枢要　山本玄通_ページ_3.jpg")</f>
        <v>び/び　鼻　1669　鍼灸枢要　山本玄通_ページ_3.jpg</v>
      </c>
    </row>
    <row r="4702" spans="1:2" x14ac:dyDescent="0.15">
      <c r="A4702" t="s">
        <v>4675</v>
      </c>
      <c r="B4702" t="str">
        <f>HYPERLINK("び/び　鼻　1669　鍼灸枢要　山本玄通_ページ_4.jpg")</f>
        <v>び/び　鼻　1669　鍼灸枢要　山本玄通_ページ_4.jpg</v>
      </c>
    </row>
    <row r="4703" spans="1:2" x14ac:dyDescent="0.15">
      <c r="A4703" t="s">
        <v>4676</v>
      </c>
      <c r="B4703" t="str">
        <f>HYPERLINK("び/び　鼻　1669　鍼灸枢要　山本玄通_ページ_5.jpg")</f>
        <v>び/び　鼻　1669　鍼灸枢要　山本玄通_ページ_5.jpg</v>
      </c>
    </row>
    <row r="4704" spans="1:2" x14ac:dyDescent="0.15">
      <c r="A4704" t="s">
        <v>4677</v>
      </c>
      <c r="B4704" t="str">
        <f>HYPERLINK("び/び　鼻　1679　鍼法奇貨　渡辺東伯_ページ_1.jpg")</f>
        <v>び/び　鼻　1679　鍼法奇貨　渡辺東伯_ページ_1.jpg</v>
      </c>
    </row>
    <row r="4705" spans="1:2" x14ac:dyDescent="0.15">
      <c r="A4705" t="s">
        <v>4678</v>
      </c>
      <c r="B4705" t="str">
        <f>HYPERLINK("び/び　鼻　1679　鍼法奇貨　渡辺東伯_ページ_2.jpg")</f>
        <v>び/び　鼻　1679　鍼法奇貨　渡辺東伯_ページ_2.jpg</v>
      </c>
    </row>
    <row r="4706" spans="1:2" x14ac:dyDescent="0.15">
      <c r="A4706" t="s">
        <v>4679</v>
      </c>
      <c r="B4706" t="str">
        <f>HYPERLINK("び/び　鼻　1679　鍼法奇貨　渡辺東伯_ページ_3.jpg")</f>
        <v>び/び　鼻　1679　鍼法奇貨　渡辺東伯_ページ_3.jpg</v>
      </c>
    </row>
    <row r="4707" spans="1:2" x14ac:dyDescent="0.15">
      <c r="A4707" t="s">
        <v>4680</v>
      </c>
      <c r="B4707" t="str">
        <f>HYPERLINK("び/び　鼻　1680　鍼灸抜萃　著者未詳.jpg")</f>
        <v>び/び　鼻　1680　鍼灸抜萃　著者未詳.jpg</v>
      </c>
    </row>
    <row r="4708" spans="1:2" x14ac:dyDescent="0.15">
      <c r="A4708" t="s">
        <v>4681</v>
      </c>
      <c r="B4708" t="str">
        <f>HYPERLINK("び/び　鼻　1686　鍼灸要法指南　岩田利斎_ページ_1.jpg")</f>
        <v>び/び　鼻　1686　鍼灸要法指南　岩田利斎_ページ_1.jpg</v>
      </c>
    </row>
    <row r="4709" spans="1:2" x14ac:dyDescent="0.15">
      <c r="A4709" t="s">
        <v>4682</v>
      </c>
      <c r="B4709" t="str">
        <f>HYPERLINK("び/び　鼻　1686　鍼灸要法指南　岩田利斎_ページ_2.jpg")</f>
        <v>び/び　鼻　1686　鍼灸要法指南　岩田利斎_ページ_2.jpg</v>
      </c>
    </row>
    <row r="4710" spans="1:2" x14ac:dyDescent="0.15">
      <c r="A4710" t="s">
        <v>4683</v>
      </c>
      <c r="B4710" t="str">
        <f>HYPERLINK("び/び　鼻　1693　鍼灸要歌集　安井昌玄_ページ_1.jpg")</f>
        <v>び/び　鼻　1693　鍼灸要歌集　安井昌玄_ページ_1.jpg</v>
      </c>
    </row>
    <row r="4711" spans="1:2" x14ac:dyDescent="0.15">
      <c r="A4711" t="s">
        <v>4684</v>
      </c>
      <c r="B4711" t="str">
        <f>HYPERLINK("び/び　鼻　1693　鍼灸要歌集　安井昌玄_ページ_2.jpg")</f>
        <v>び/び　鼻　1693　鍼灸要歌集　安井昌玄_ページ_2.jpg</v>
      </c>
    </row>
    <row r="4712" spans="1:2" x14ac:dyDescent="0.15">
      <c r="A4712" t="s">
        <v>4685</v>
      </c>
      <c r="B4712" t="str">
        <f>HYPERLINK("び/び　鼻　1694　鍼灸そかい集　高津敬節.jpg")</f>
        <v>び/び　鼻　1694　鍼灸そかい集　高津敬節.jpg</v>
      </c>
    </row>
    <row r="4713" spans="1:2" x14ac:dyDescent="0.15">
      <c r="A4713" t="s">
        <v>4686</v>
      </c>
      <c r="B4713" t="str">
        <f>HYPERLINK("び/び　鼻　1696　広益鍼灸抜萃　著者未詳.jpg")</f>
        <v>び/び　鼻　1696　広益鍼灸抜萃　著者未詳.jpg</v>
      </c>
    </row>
    <row r="4714" spans="1:2" x14ac:dyDescent="0.15">
      <c r="A4714" t="s">
        <v>4687</v>
      </c>
      <c r="B4714" t="str">
        <f>HYPERLINK("び/び　鼻　1698　鍼灸抜粋大成　岡本一抱_ページ_1.jpg")</f>
        <v>び/び　鼻　1698　鍼灸抜粋大成　岡本一抱_ページ_1.jpg</v>
      </c>
    </row>
    <row r="4715" spans="1:2" x14ac:dyDescent="0.15">
      <c r="A4715" t="s">
        <v>4688</v>
      </c>
      <c r="B4715" t="str">
        <f>HYPERLINK("び/び　鼻　1698　鍼灸抜粋大成　岡本一抱_ページ_2.jpg")</f>
        <v>び/び　鼻　1698　鍼灸抜粋大成　岡本一抱_ページ_2.jpg</v>
      </c>
    </row>
    <row r="4716" spans="1:2" x14ac:dyDescent="0.15">
      <c r="A4716" t="s">
        <v>4689</v>
      </c>
      <c r="B4716" t="str">
        <f>HYPERLINK("び/び　鼻　1718　鍼灸重宝記　本郷正豊.jpg")</f>
        <v>び/び　鼻　1718　鍼灸重宝記　本郷正豊.jpg</v>
      </c>
    </row>
    <row r="4717" spans="1:2" x14ac:dyDescent="0.15">
      <c r="A4717" t="s">
        <v>4690</v>
      </c>
      <c r="B4717" t="str">
        <f>HYPERLINK("び/び　鼻　1767　鍼灸則　菅沼周桂.jpg")</f>
        <v>び/び　鼻　1767　鍼灸則　菅沼周桂.jpg</v>
      </c>
    </row>
    <row r="4718" spans="1:2" x14ac:dyDescent="0.15">
      <c r="A4718" t="s">
        <v>4691</v>
      </c>
      <c r="B4718" t="str">
        <f>HYPERLINK("び/び　鼻　1773　鍼灸手引草　大簡室主人_ページ_1.jpg")</f>
        <v>び/び　鼻　1773　鍼灸手引草　大簡室主人_ページ_1.jpg</v>
      </c>
    </row>
    <row r="4719" spans="1:2" x14ac:dyDescent="0.15">
      <c r="A4719" t="s">
        <v>4692</v>
      </c>
      <c r="B4719" t="str">
        <f>HYPERLINK("び/び　鼻　1773　鍼灸手引草　大簡室主人_ページ_2.jpg")</f>
        <v>び/び　鼻　1773　鍼灸手引草　大簡室主人_ページ_2.jpg</v>
      </c>
    </row>
    <row r="4720" spans="1:2" x14ac:dyDescent="0.15">
      <c r="A4720" t="s">
        <v>4693</v>
      </c>
      <c r="B4720" t="str">
        <f>HYPERLINK("び/び　鼻　1792　鍼法要集　源長起_ページ_1.jpg")</f>
        <v>び/び　鼻　1792　鍼法要集　源長起_ページ_1.jpg</v>
      </c>
    </row>
    <row r="4721" spans="1:2" x14ac:dyDescent="0.15">
      <c r="A4721" t="s">
        <v>4694</v>
      </c>
      <c r="B4721" t="str">
        <f>HYPERLINK("び/び　鼻　1792　鍼法要集　源長起_ページ_2.jpg")</f>
        <v>び/び　鼻　1792　鍼法要集　源長起_ページ_2.jpg</v>
      </c>
    </row>
    <row r="4722" spans="1:2" x14ac:dyDescent="0.15">
      <c r="A4722" t="s">
        <v>4695</v>
      </c>
      <c r="B4722" t="str">
        <f>HYPERLINK("び/び　鼻　1792　鍼法要集　源長起_ページ_3.jpg")</f>
        <v>び/び　鼻　1792　鍼法要集　源長起_ページ_3.jpg</v>
      </c>
    </row>
    <row r="4723" spans="1:2" x14ac:dyDescent="0.15">
      <c r="A4723" t="s">
        <v>4696</v>
      </c>
      <c r="B4723" t="str">
        <f>HYPERLINK("び/び　鼻　1800　鍼灸備要　小坂元祐_ページ_1.jpg")</f>
        <v>び/び　鼻　1800　鍼灸備要　小坂元祐_ページ_1.jpg</v>
      </c>
    </row>
    <row r="4724" spans="1:2" x14ac:dyDescent="0.15">
      <c r="A4724" t="s">
        <v>4697</v>
      </c>
      <c r="B4724" t="str">
        <f>HYPERLINK("び/び　鼻　1800　鍼灸備要　小坂元祐_ページ_2.jpg")</f>
        <v>び/び　鼻　1800　鍼灸備要　小坂元祐_ページ_2.jpg</v>
      </c>
    </row>
    <row r="4725" spans="1:2" x14ac:dyDescent="0.15">
      <c r="A4725" t="s">
        <v>4698</v>
      </c>
      <c r="B4725" t="str">
        <f>HYPERLINK("び/び　鼻　1800　鍼灸備要　小坂元祐_ページ_3.jpg")</f>
        <v>び/び　鼻　1800　鍼灸備要　小坂元祐_ページ_3.jpg</v>
      </c>
    </row>
    <row r="4726" spans="1:2" x14ac:dyDescent="0.15">
      <c r="A4726" t="s">
        <v>4699</v>
      </c>
      <c r="B4726" t="str">
        <f>HYPERLINK("び/び　鼻　1807　続名家灸選　平井庸信_ページ_1.jpg")</f>
        <v>び/び　鼻　1807　続名家灸選　平井庸信_ページ_1.jpg</v>
      </c>
    </row>
    <row r="4727" spans="1:2" x14ac:dyDescent="0.15">
      <c r="A4727" t="s">
        <v>4700</v>
      </c>
      <c r="B4727" t="str">
        <f>HYPERLINK("び/び　鼻　1807　続名家灸選　平井庸信_ページ_2.jpg")</f>
        <v>び/び　鼻　1807　続名家灸選　平井庸信_ページ_2.jpg</v>
      </c>
    </row>
    <row r="4728" spans="1:2" x14ac:dyDescent="0.15">
      <c r="A4728" t="s">
        <v>4701</v>
      </c>
      <c r="B4728" t="str">
        <f>HYPERLINK("び/び　鼻　1813　名家灸選　浅井惟亨.jpg")</f>
        <v>び/び　鼻　1813　名家灸選　浅井惟亨.jpg</v>
      </c>
    </row>
    <row r="4729" spans="1:2" x14ac:dyDescent="0.15">
      <c r="A4729" t="s">
        <v>4702</v>
      </c>
      <c r="B4729" t="str">
        <f>HYPERLINK("び/び　鼻　1813　名家灸選三編　平井庸信.jpg")</f>
        <v>び/び　鼻　1813　名家灸選三編　平井庸信.jpg</v>
      </c>
    </row>
    <row r="4730" spans="1:2" x14ac:dyDescent="0.15">
      <c r="A4730" t="s">
        <v>4703</v>
      </c>
      <c r="B4730" t="str">
        <f>HYPERLINK("び/び　鼻　成書年未詳　灸穴集　著者未詳_ページ_1.jpg")</f>
        <v>び/び　鼻　成書年未詳　灸穴集　著者未詳_ページ_1.jpg</v>
      </c>
    </row>
    <row r="4731" spans="1:2" x14ac:dyDescent="0.15">
      <c r="A4731" t="s">
        <v>4704</v>
      </c>
      <c r="B4731" t="str">
        <f>HYPERLINK("び/び　鼻　成書年未詳　灸穴集　著者未詳_ページ_2.jpg")</f>
        <v>び/び　鼻　成書年未詳　灸穴集　著者未詳_ページ_2.jpg</v>
      </c>
    </row>
    <row r="4732" spans="1:2" x14ac:dyDescent="0.15">
      <c r="A4732" t="s">
        <v>4705</v>
      </c>
      <c r="B4732" t="str">
        <f>HYPERLINK("び/び　鼻口部　1425　神応経　明・陳会撰・劉瑾重校_ページ_1.jpg")</f>
        <v>び/び　鼻口部　1425　神応経　明・陳会撰・劉瑾重校_ページ_1.jpg</v>
      </c>
    </row>
    <row r="4733" spans="1:2" x14ac:dyDescent="0.15">
      <c r="A4733" t="s">
        <v>4706</v>
      </c>
      <c r="B4733" t="str">
        <f>HYPERLINK("び/び　鼻口部　1425　神応経　明・陳会撰・劉瑾重校_ページ_2.jpg")</f>
        <v>び/び　鼻口部　1425　神応経　明・陳会撰・劉瑾重校_ページ_2.jpg</v>
      </c>
    </row>
    <row r="4734" spans="1:2" x14ac:dyDescent="0.15">
      <c r="A4734" t="s">
        <v>4707</v>
      </c>
      <c r="B4734" t="str">
        <f>HYPERLINK("び/び　鼻口部　1425　神応経　明・陳会撰・劉瑾重校_ページ_3.jpg")</f>
        <v>び/び　鼻口部　1425　神応経　明・陳会撰・劉瑾重校_ページ_3.jpg</v>
      </c>
    </row>
    <row r="4735" spans="1:2" x14ac:dyDescent="0.15">
      <c r="A4735" t="s">
        <v>4708</v>
      </c>
      <c r="B4735" t="str">
        <f>HYPERLINK("び/び　鼻塞不利又不聞香臭　1912年（大正01）　鍼灸手引草　久木田七郎.jpg")</f>
        <v>び/び　鼻塞不利又不聞香臭　1912年（大正01）　鍼灸手引草　久木田七郎.jpg</v>
      </c>
    </row>
    <row r="4736" spans="1:2" x14ac:dyDescent="0.15">
      <c r="A4736" t="s">
        <v>4709</v>
      </c>
      <c r="B4736" t="str">
        <f>HYPERLINK("び/び　鼻塞不利（不聞香臭）　1220　鍼灸資生経　王執中_ページ_1.jpg")</f>
        <v>び/び　鼻塞不利（不聞香臭）　1220　鍼灸資生経　王執中_ページ_1.jpg</v>
      </c>
    </row>
    <row r="4737" spans="1:2" x14ac:dyDescent="0.15">
      <c r="A4737" t="s">
        <v>4710</v>
      </c>
      <c r="B4737" t="str">
        <f>HYPERLINK("び/び　鼻塞不利（不聞香臭）　1220　鍼灸資生経　王執中_ページ_2.jpg")</f>
        <v>び/び　鼻塞不利（不聞香臭）　1220　鍼灸資生経　王執中_ページ_2.jpg</v>
      </c>
    </row>
    <row r="4738" spans="1:2" x14ac:dyDescent="0.15">
      <c r="A4738" t="s">
        <v>4711</v>
      </c>
      <c r="B4738" t="str">
        <f>HYPERLINK("び/び　鼻塞不聞香臭　1694　選鍼三要集　杉山和一.jpg")</f>
        <v>び/び　鼻塞不聞香臭　1694　選鍼三要集　杉山和一.jpg</v>
      </c>
    </row>
    <row r="4739" spans="1:2" x14ac:dyDescent="0.15">
      <c r="A4739" t="s">
        <v>4712</v>
      </c>
      <c r="B4739" t="str">
        <f>HYPERLINK("び/び　鼻有息肉（生瘡）　1220　鍼灸資生経　王執中.jpg")</f>
        <v>び/び　鼻有息肉（生瘡）　1220　鍼灸資生経　王執中.jpg</v>
      </c>
    </row>
    <row r="4740" spans="1:2" x14ac:dyDescent="0.15">
      <c r="A4740" t="s">
        <v>4713</v>
      </c>
      <c r="B4740" t="str">
        <f>HYPERLINK("び/び　鼻涕出　1220　鍼灸資生経　王執中_ページ_1.jpg")</f>
        <v>び/び　鼻涕出　1220　鍼灸資生経　王執中_ページ_1.jpg</v>
      </c>
    </row>
    <row r="4741" spans="1:2" x14ac:dyDescent="0.15">
      <c r="A4741" t="s">
        <v>4714</v>
      </c>
      <c r="B4741" t="str">
        <f>HYPERLINK("び/び　鼻涕出　1220　鍼灸資生経　王執中_ページ_2.jpg")</f>
        <v>び/び　鼻涕出　1220　鍼灸資生経　王執中_ページ_2.jpg</v>
      </c>
    </row>
    <row r="4742" spans="1:2" x14ac:dyDescent="0.15">
      <c r="A4742" t="s">
        <v>4715</v>
      </c>
      <c r="B4742" t="str">
        <f>HYPERLINK("び/び　鼻涕流出　1912年（大正01）　鍼灸手引草　久木田七郎_ページ_1.jpg")</f>
        <v>び/び　鼻涕流出　1912年（大正01）　鍼灸手引草　久木田七郎_ページ_1.jpg</v>
      </c>
    </row>
    <row r="4743" spans="1:2" x14ac:dyDescent="0.15">
      <c r="A4743" t="s">
        <v>4716</v>
      </c>
      <c r="B4743" t="str">
        <f>HYPERLINK("び/び　鼻涕流出　1912年（大正01）　鍼灸手引草　久木田七郎_ページ_2.jpg")</f>
        <v>び/び　鼻涕流出　1912年（大正01）　鍼灸手引草　久木田七郎_ページ_2.jpg</v>
      </c>
    </row>
    <row r="4744" spans="1:2" x14ac:dyDescent="0.15">
      <c r="A4744" t="s">
        <v>4717</v>
      </c>
      <c r="B4744" t="str">
        <f>HYPERLINK("び/び　鼻淵　1329　扁鵲神応鍼灸玉龍経　元・王国瑞_ページ_1.jpg")</f>
        <v>び/び　鼻淵　1329　扁鵲神応鍼灸玉龍経　元・王国瑞_ページ_1.jpg</v>
      </c>
    </row>
    <row r="4745" spans="1:2" x14ac:dyDescent="0.15">
      <c r="A4745" t="s">
        <v>4718</v>
      </c>
      <c r="B4745" t="str">
        <f>HYPERLINK("び/び　鼻淵　1329　扁鵲神応鍼灸玉龍経　元・王国瑞_ページ_2.jpg")</f>
        <v>び/び　鼻淵　1329　扁鵲神応鍼灸玉龍経　元・王国瑞_ページ_2.jpg</v>
      </c>
    </row>
    <row r="4746" spans="1:2" x14ac:dyDescent="0.15">
      <c r="A4746" t="s">
        <v>4719</v>
      </c>
      <c r="B4746" t="str">
        <f>HYPERLINK("び/び　鼻淵　びえん　慢性鼻竅炎　1887（明治20）　鍼灸備要　青山道醇.jpg")</f>
        <v>び/び　鼻淵　びえん　慢性鼻竅炎　1887（明治20）　鍼灸備要　青山道醇.jpg</v>
      </c>
    </row>
    <row r="4747" spans="1:2" x14ac:dyDescent="0.15">
      <c r="A4747" t="s">
        <v>4720</v>
      </c>
      <c r="B4747" t="str">
        <f>HYPERLINK("び/び　鼻疾　成書年未詳　経穴図解　著者未詳.jpg")</f>
        <v>び/び　鼻疾　成書年未詳　経穴図解　著者未詳.jpg</v>
      </c>
    </row>
    <row r="4748" spans="1:2" x14ac:dyDescent="0.15">
      <c r="A4748" t="s">
        <v>4721</v>
      </c>
      <c r="B4748" t="str">
        <f>HYPERLINK("び/び　鼻痔（びぢ）　はなたけ　鼻粘膜贅肉（ぜいにく）　1887（明治20）　鍼灸備要　青山道醇.jpg")</f>
        <v>び/び　鼻痔（びぢ）　はなたけ　鼻粘膜贅肉（ぜいにく）　1887（明治20）　鍼灸備要　青山道醇.jpg</v>
      </c>
    </row>
    <row r="4749" spans="1:2" x14ac:dyDescent="0.15">
      <c r="A4749" t="s">
        <v>4722</v>
      </c>
      <c r="B4749" t="str">
        <f>HYPERLINK("び/び　鼻痛（余見鼻瘡）　1220　鍼灸資生経　王執中.jpg")</f>
        <v>び/び　鼻痛（余見鼻瘡）　1220　鍼灸資生経　王執中.jpg</v>
      </c>
    </row>
    <row r="4750" spans="1:2" x14ac:dyDescent="0.15">
      <c r="A4750" t="s">
        <v>4723</v>
      </c>
      <c r="B4750" t="str">
        <f>HYPERLINK("び/び　鼻衄　1220　鍼灸資生経　王執中_ページ_1.jpg")</f>
        <v>び/び　鼻衄　1220　鍼灸資生経　王執中_ページ_1.jpg</v>
      </c>
    </row>
    <row r="4751" spans="1:2" x14ac:dyDescent="0.15">
      <c r="A4751" t="s">
        <v>4724</v>
      </c>
      <c r="B4751" t="str">
        <f>HYPERLINK("び/び　鼻衄　1220　鍼灸資生経　王執中_ページ_2.jpg")</f>
        <v>び/び　鼻衄　1220　鍼灸資生経　王執中_ページ_2.jpg</v>
      </c>
    </row>
    <row r="4752" spans="1:2" x14ac:dyDescent="0.15">
      <c r="A4752" t="s">
        <v>4725</v>
      </c>
      <c r="B4752" t="str">
        <f>HYPERLINK("び/び　鼻衄　1224　医説　宋・張杲.jpg")</f>
        <v>び/び　鼻衄　1224　医説　宋・張杲.jpg</v>
      </c>
    </row>
    <row r="4753" spans="1:2" x14ac:dyDescent="0.15">
      <c r="A4753" t="s">
        <v>4726</v>
      </c>
      <c r="B4753" t="str">
        <f>HYPERLINK("び/び　鼻衄　1226　備急灸法　宋・聞人耆年.jpg")</f>
        <v>び/び　鼻衄　1226　備急灸法　宋・聞人耆年.jpg</v>
      </c>
    </row>
    <row r="4754" spans="1:2" x14ac:dyDescent="0.15">
      <c r="A4754" t="s">
        <v>4727</v>
      </c>
      <c r="B4754" t="str">
        <f>HYPERLINK("び/び　鼻衄不止　1315　鍼経摘英集　元・杜思敬「済生抜粋方」_ページ_1.jpg")</f>
        <v>び/び　鼻衄不止　1315　鍼経摘英集　元・杜思敬「済生抜粋方」_ページ_1.jpg</v>
      </c>
    </row>
    <row r="4755" spans="1:2" x14ac:dyDescent="0.15">
      <c r="A4755" t="s">
        <v>4728</v>
      </c>
      <c r="B4755" t="str">
        <f>HYPERLINK("び/び　鼻衄不止　1315　鍼経摘英集　元・杜思敬「済生抜粋方」_ページ_2.jpg")</f>
        <v>び/び　鼻衄不止　1315　鍼経摘英集　元・杜思敬「済生抜粋方」_ページ_2.jpg</v>
      </c>
    </row>
    <row r="4756" spans="1:2" x14ac:dyDescent="0.15">
      <c r="A4756" t="s">
        <v>4729</v>
      </c>
      <c r="B4756" t="str">
        <f>HYPERLINK("び/びゃく　白虎歴節風（びやくこれきせつふう）　ふしふしのはげしくいたむ病　急性関節僂麻質斯（リウマチス）　1887（明治20）　鍼灸備要　青山道醇.jpg")</f>
        <v>び/びゃく　白虎歴節風（びやくこれきせつふう）　ふしふしのはげしくいたむ病　急性関節僂麻質斯（リウマチス）　1887（明治20）　鍼灸備要　青山道醇.jpg</v>
      </c>
    </row>
    <row r="4757" spans="1:2" x14ac:dyDescent="0.15">
      <c r="A4757" t="s">
        <v>4730</v>
      </c>
      <c r="B4757" t="str">
        <f>HYPERLINK("び/びょう　猫鬼　1792　鍼法要集　源長起.jpg")</f>
        <v>び/びょう　猫鬼　1792　鍼法要集　源長起.jpg</v>
      </c>
    </row>
    <row r="4758" spans="1:2" x14ac:dyDescent="0.15">
      <c r="A4758" t="s">
        <v>4731</v>
      </c>
      <c r="B4758" t="str">
        <f>HYPERLINK("び/びょう　病後少気　1765　鍼法弁惑　藤井秀孟.jpg")</f>
        <v>び/びょう　病後少気　1765　鍼法弁惑　藤井秀孟.jpg</v>
      </c>
    </row>
    <row r="4759" spans="1:2" x14ac:dyDescent="0.15">
      <c r="A4759" t="s">
        <v>4732</v>
      </c>
      <c r="B4759" t="str">
        <f>HYPERLINK("ふ/ふ　不仁　1537　鍼灸聚英　明・高武_ページ_1.jpg")</f>
        <v>ふ/ふ　不仁　1537　鍼灸聚英　明・高武_ページ_1.jpg</v>
      </c>
    </row>
    <row r="4760" spans="1:2" x14ac:dyDescent="0.15">
      <c r="A4760" t="s">
        <v>4733</v>
      </c>
      <c r="B4760" t="str">
        <f>HYPERLINK("ふ/ふ　不仁　1537　鍼灸聚英　明・高武_ページ_2.jpg")</f>
        <v>ふ/ふ　不仁　1537　鍼灸聚英　明・高武_ページ_2.jpg</v>
      </c>
    </row>
    <row r="4761" spans="1:2" x14ac:dyDescent="0.15">
      <c r="A4761" t="s">
        <v>4734</v>
      </c>
      <c r="B4761" t="str">
        <f>HYPERLINK("ふ/ふ　不仁　かわはだのしびれ　知覚減少　1887（明治20）　鍼灸備要　青山道醇_ページ_1.jpg")</f>
        <v>ふ/ふ　不仁　かわはだのしびれ　知覚減少　1887（明治20）　鍼灸備要　青山道醇_ページ_1.jpg</v>
      </c>
    </row>
    <row r="4762" spans="1:2" x14ac:dyDescent="0.15">
      <c r="A4762" t="s">
        <v>4735</v>
      </c>
      <c r="B4762" t="str">
        <f>HYPERLINK("ふ/ふ　不仁　かわはだのしびれ　知覚減少　1887（明治20）　鍼灸備要　青山道醇_ページ_2.jpg")</f>
        <v>ふ/ふ　不仁　かわはだのしびれ　知覚減少　1887（明治20）　鍼灸備要　青山道醇_ページ_2.jpg</v>
      </c>
    </row>
    <row r="4763" spans="1:2" x14ac:dyDescent="0.15">
      <c r="A4763" t="s">
        <v>4736</v>
      </c>
      <c r="B4763" t="str">
        <f>HYPERLINK("ふ/ふ　不呑乳　1686　鍼灸要法指南　岩田利斎.jpg")</f>
        <v>ふ/ふ　不呑乳　1686　鍼灸要法指南　岩田利斎.jpg</v>
      </c>
    </row>
    <row r="4764" spans="1:2" x14ac:dyDescent="0.15">
      <c r="A4764" t="s">
        <v>4737</v>
      </c>
      <c r="B4764" t="str">
        <f>HYPERLINK("ふ/ふ　不嗜食　1220　鍼灸資生経　王執中.jpg")</f>
        <v>ふ/ふ　不嗜食　1220　鍼灸資生経　王執中.jpg</v>
      </c>
    </row>
    <row r="4765" spans="1:2" x14ac:dyDescent="0.15">
      <c r="A4765" t="s">
        <v>4738</v>
      </c>
      <c r="B4765" t="str">
        <f>HYPERLINK("ふ/ふ　不嗜食　1669　鍼灸枢要　山本玄通_ページ_1.jpg")</f>
        <v>ふ/ふ　不嗜食　1669　鍼灸枢要　山本玄通_ページ_1.jpg</v>
      </c>
    </row>
    <row r="4766" spans="1:2" x14ac:dyDescent="0.15">
      <c r="A4766" t="s">
        <v>4739</v>
      </c>
      <c r="B4766" t="str">
        <f>HYPERLINK("ふ/ふ　不嗜食　1669　鍼灸枢要　山本玄通_ページ_2.jpg")</f>
        <v>ふ/ふ　不嗜食　1669　鍼灸枢要　山本玄通_ページ_2.jpg</v>
      </c>
    </row>
    <row r="4767" spans="1:2" x14ac:dyDescent="0.15">
      <c r="A4767" t="s">
        <v>4740</v>
      </c>
      <c r="B4767" t="str">
        <f>HYPERLINK("ふ/ふ　不妊娠　1669　鍼灸枢要　山本玄通_ページ_1.jpg")</f>
        <v>ふ/ふ　不妊娠　1669　鍼灸枢要　山本玄通_ページ_1.jpg</v>
      </c>
    </row>
    <row r="4768" spans="1:2" x14ac:dyDescent="0.15">
      <c r="A4768" t="s">
        <v>4741</v>
      </c>
      <c r="B4768" t="str">
        <f>HYPERLINK("ふ/ふ　不妊娠　1669　鍼灸枢要　山本玄通_ページ_2.jpg")</f>
        <v>ふ/ふ　不妊娠　1669　鍼灸枢要　山本玄通_ページ_2.jpg</v>
      </c>
    </row>
    <row r="4769" spans="1:2" x14ac:dyDescent="0.15">
      <c r="A4769" t="s">
        <v>4742</v>
      </c>
      <c r="B4769" t="str">
        <f>HYPERLINK("ふ/ふ　不妊娠　1800　鍼灸備要　小坂元祐_ページ_1.jpg")</f>
        <v>ふ/ふ　不妊娠　1800　鍼灸備要　小坂元祐_ページ_1.jpg</v>
      </c>
    </row>
    <row r="4770" spans="1:2" x14ac:dyDescent="0.15">
      <c r="A4770" t="s">
        <v>4743</v>
      </c>
      <c r="B4770" t="str">
        <f>HYPERLINK("ふ/ふ　不妊娠　1800　鍼灸備要　小坂元祐_ページ_2.jpg")</f>
        <v>ふ/ふ　不妊娠　1800　鍼灸備要　小坂元祐_ページ_2.jpg</v>
      </c>
    </row>
    <row r="4771" spans="1:2" x14ac:dyDescent="0.15">
      <c r="A4771" t="s">
        <v>4744</v>
      </c>
      <c r="B4771" t="str">
        <f>HYPERLINK("ふ/ふ　不得寐　1669　鍼灸枢要　山本玄通_ページ_1.jpg")</f>
        <v>ふ/ふ　不得寐　1669　鍼灸枢要　山本玄通_ページ_1.jpg</v>
      </c>
    </row>
    <row r="4772" spans="1:2" x14ac:dyDescent="0.15">
      <c r="A4772" t="s">
        <v>4745</v>
      </c>
      <c r="B4772" t="str">
        <f>HYPERLINK("ふ/ふ　不得寐　1669　鍼灸枢要　山本玄通_ページ_2.jpg")</f>
        <v>ふ/ふ　不得寐　1669　鍼灸枢要　山本玄通_ページ_2.jpg</v>
      </c>
    </row>
    <row r="4773" spans="1:2" x14ac:dyDescent="0.15">
      <c r="A4773" t="s">
        <v>4746</v>
      </c>
      <c r="B4773" t="str">
        <f>HYPERLINK("ふ/ふ　不得寐　1669　鍼灸枢要　山本玄通_ページ_3.jpg")</f>
        <v>ふ/ふ　不得寐　1669　鍼灸枢要　山本玄通_ページ_3.jpg</v>
      </c>
    </row>
    <row r="4774" spans="1:2" x14ac:dyDescent="0.15">
      <c r="A4774" t="s">
        <v>4747</v>
      </c>
      <c r="B4774" t="str">
        <f>HYPERLINK("ふ/ふ　不成孕　1694　選鍼三要集　杉山和一.jpg")</f>
        <v>ふ/ふ　不成孕　1694　選鍼三要集　杉山和一.jpg</v>
      </c>
    </row>
    <row r="4775" spans="1:2" x14ac:dyDescent="0.15">
      <c r="A4775" t="s">
        <v>4748</v>
      </c>
      <c r="B4775" t="str">
        <f>HYPERLINK("ふ/ふ　不眠症　1912年（大正01）　鍼灸手引草　久木田七郎.jpg")</f>
        <v>ふ/ふ　不眠症　1912年（大正01）　鍼灸手引草　久木田七郎.jpg</v>
      </c>
    </row>
    <row r="4776" spans="1:2" x14ac:dyDescent="0.15">
      <c r="A4776" t="s">
        <v>4749</v>
      </c>
      <c r="B4776" t="str">
        <f>HYPERLINK("ふ/ふ　不聞香臭　1329　扁鵲神応鍼灸玉龍経　元・王国瑞.jpg")</f>
        <v>ふ/ふ　不聞香臭　1329　扁鵲神応鍼灸玉龍経　元・王国瑞.jpg</v>
      </c>
    </row>
    <row r="4777" spans="1:2" x14ac:dyDescent="0.15">
      <c r="A4777" t="s">
        <v>4750</v>
      </c>
      <c r="B4777" t="str">
        <f>HYPERLINK("ふ/ふ　不能食　1220　鍼灸資生経　王執中_ページ_1.jpg")</f>
        <v>ふ/ふ　不能食　1220　鍼灸資生経　王執中_ページ_1.jpg</v>
      </c>
    </row>
    <row r="4778" spans="1:2" x14ac:dyDescent="0.15">
      <c r="A4778" t="s">
        <v>4751</v>
      </c>
      <c r="B4778" t="str">
        <f>HYPERLINK("ふ/ふ　不能食　1220　鍼灸資生経　王執中_ページ_2.jpg")</f>
        <v>ふ/ふ　不能食　1220　鍼灸資生経　王執中_ページ_2.jpg</v>
      </c>
    </row>
    <row r="4779" spans="1:2" x14ac:dyDescent="0.15">
      <c r="A4779" t="s">
        <v>4752</v>
      </c>
      <c r="B4779" t="str">
        <f>HYPERLINK("ふ/ふ　不能食　1574　兪穴参伍的法　秦宗巴.jpg")</f>
        <v>ふ/ふ　不能食　1574　兪穴参伍的法　秦宗巴.jpg</v>
      </c>
    </row>
    <row r="4780" spans="1:2" x14ac:dyDescent="0.15">
      <c r="A4780" t="s">
        <v>4753</v>
      </c>
      <c r="B4780" t="str">
        <f>HYPERLINK("ふ/ふ　不能食病　0650　千金方　孫思ばく.jpg")</f>
        <v>ふ/ふ　不能食病　0650　千金方　孫思ばく.jpg</v>
      </c>
    </row>
    <row r="4781" spans="1:2" x14ac:dyDescent="0.15">
      <c r="A4781" t="s">
        <v>4754</v>
      </c>
      <c r="B4781" t="str">
        <f>HYPERLINK("ふ/ふ　不臥　1220　鍼灸資生経　王執中.jpg")</f>
        <v>ふ/ふ　不臥　1220　鍼灸資生経　王執中.jpg</v>
      </c>
    </row>
    <row r="4782" spans="1:2" x14ac:dyDescent="0.15">
      <c r="A4782" t="s">
        <v>4755</v>
      </c>
      <c r="B4782" t="str">
        <f>HYPERLINK("ふ/ふ　不臥　1686　鍼灸要法指南　岩田利斎.jpg")</f>
        <v>ふ/ふ　不臥　1686　鍼灸要法指南　岩田利斎.jpg</v>
      </c>
    </row>
    <row r="4783" spans="1:2" x14ac:dyDescent="0.15">
      <c r="A4783" t="s">
        <v>4756</v>
      </c>
      <c r="B4783" t="str">
        <f>HYPERLINK("ふ/ふ　不食　1607　扁鵲新流鍼書　越齋寿閑.jpg")</f>
        <v>ふ/ふ　不食　1607　扁鵲新流鍼書　越齋寿閑.jpg</v>
      </c>
    </row>
    <row r="4784" spans="1:2" x14ac:dyDescent="0.15">
      <c r="A4784" t="s">
        <v>4757</v>
      </c>
      <c r="B4784" t="str">
        <f>HYPERLINK("ふ/ふ　不食　宿食（しょくじき）　1686　鍼灸要法指南　岩田利斎.jpg")</f>
        <v>ふ/ふ　不食　宿食（しょくじき）　1686　鍼灸要法指南　岩田利斎.jpg</v>
      </c>
    </row>
    <row r="4785" spans="1:2" x14ac:dyDescent="0.15">
      <c r="A4785" t="s">
        <v>4758</v>
      </c>
      <c r="B4785" t="str">
        <f>HYPERLINK("ふ/ふ　不食之針穴　1613　古今集鍼法　長生庵了味か.jpg")</f>
        <v>ふ/ふ　不食之針穴　1613　古今集鍼法　長生庵了味か.jpg</v>
      </c>
    </row>
    <row r="4786" spans="1:2" x14ac:dyDescent="0.15">
      <c r="A4786" t="s">
        <v>4759</v>
      </c>
      <c r="B4786" t="str">
        <f>HYPERLINK("ふ/ふ　婦人　1425　神応経　明・陳会撰・劉瑾重校_ページ_1.jpg")</f>
        <v>ふ/ふ　婦人　1425　神応経　明・陳会撰・劉瑾重校_ページ_1.jpg</v>
      </c>
    </row>
    <row r="4787" spans="1:2" x14ac:dyDescent="0.15">
      <c r="A4787" t="s">
        <v>4760</v>
      </c>
      <c r="B4787" t="str">
        <f>HYPERLINK("ふ/ふ　婦人　1425　神応経　明・陳会撰・劉瑾重校_ページ_2.jpg")</f>
        <v>ふ/ふ　婦人　1425　神応経　明・陳会撰・劉瑾重校_ページ_2.jpg</v>
      </c>
    </row>
    <row r="4788" spans="1:2" x14ac:dyDescent="0.15">
      <c r="A4788" t="s">
        <v>4761</v>
      </c>
      <c r="B4788" t="str">
        <f>HYPERLINK("ふ/ふ　婦人　1698　鍼灸抜粋大成　岡本一抱_ページ_1.jpg")</f>
        <v>ふ/ふ　婦人　1698　鍼灸抜粋大成　岡本一抱_ページ_1.jpg</v>
      </c>
    </row>
    <row r="4789" spans="1:2" x14ac:dyDescent="0.15">
      <c r="A4789" t="s">
        <v>4762</v>
      </c>
      <c r="B4789" t="str">
        <f>HYPERLINK("ふ/ふ　婦人　1698　鍼灸抜粋大成　岡本一抱_ページ_2.jpg")</f>
        <v>ふ/ふ　婦人　1698　鍼灸抜粋大成　岡本一抱_ページ_2.jpg</v>
      </c>
    </row>
    <row r="4790" spans="1:2" x14ac:dyDescent="0.15">
      <c r="A4790" t="s">
        <v>4763</v>
      </c>
      <c r="B4790" t="str">
        <f>HYPERLINK("ふ/ふ　婦人　1785　鍼書　本城義軒_ページ_1.jpg")</f>
        <v>ふ/ふ　婦人　1785　鍼書　本城義軒_ページ_1.jpg</v>
      </c>
    </row>
    <row r="4791" spans="1:2" x14ac:dyDescent="0.15">
      <c r="A4791" t="s">
        <v>4764</v>
      </c>
      <c r="B4791" t="str">
        <f>HYPERLINK("ふ/ふ　婦人　1785　鍼書　本城義軒_ページ_2.jpg")</f>
        <v>ふ/ふ　婦人　1785　鍼書　本城義軒_ページ_2.jpg</v>
      </c>
    </row>
    <row r="4792" spans="1:2" x14ac:dyDescent="0.15">
      <c r="A4792" t="s">
        <v>4765</v>
      </c>
      <c r="B4792" t="str">
        <f>HYPERLINK("ふ/ふ　婦人　1800　鍼灸備要　小坂元祐.jpg")</f>
        <v>ふ/ふ　婦人　1800　鍼灸備要　小坂元祐.jpg</v>
      </c>
    </row>
    <row r="4793" spans="1:2" x14ac:dyDescent="0.15">
      <c r="A4793" t="s">
        <v>4766</v>
      </c>
      <c r="B4793" t="str">
        <f>HYPERLINK("ふ/ふ　婦人　●婦人雑病　第十　0300　鍼灸甲乙経　皇甫謐_ページ_1.jpg")</f>
        <v>ふ/ふ　婦人　●婦人雑病　第十　0300　鍼灸甲乙経　皇甫謐_ページ_1.jpg</v>
      </c>
    </row>
    <row r="4794" spans="1:2" x14ac:dyDescent="0.15">
      <c r="A4794" t="s">
        <v>4767</v>
      </c>
      <c r="B4794" t="str">
        <f>HYPERLINK("ふ/ふ　婦人　●婦人雑病　第十　0300　鍼灸甲乙経　皇甫謐_ページ_2.jpg")</f>
        <v>ふ/ふ　婦人　●婦人雑病　第十　0300　鍼灸甲乙経　皇甫謐_ページ_2.jpg</v>
      </c>
    </row>
    <row r="4795" spans="1:2" x14ac:dyDescent="0.15">
      <c r="A4795" t="s">
        <v>4768</v>
      </c>
      <c r="B4795" t="str">
        <f>HYPERLINK("ふ/ふ　婦人　●婦人雑病　第十　0300　鍼灸甲乙経　皇甫謐_ページ_3.jpg")</f>
        <v>ふ/ふ　婦人　●婦人雑病　第十　0300　鍼灸甲乙経　皇甫謐_ページ_3.jpg</v>
      </c>
    </row>
    <row r="4796" spans="1:2" x14ac:dyDescent="0.15">
      <c r="A4796" t="s">
        <v>4769</v>
      </c>
      <c r="B4796" t="str">
        <f>HYPERLINK("ふ/ふ　婦人　●婦人雑病　第十　0300　鍼灸甲乙経　皇甫謐_ページ_4.jpg")</f>
        <v>ふ/ふ　婦人　●婦人雑病　第十　0300　鍼灸甲乙経　皇甫謐_ページ_4.jpg</v>
      </c>
    </row>
    <row r="4797" spans="1:2" x14ac:dyDescent="0.15">
      <c r="A4797" t="s">
        <v>4770</v>
      </c>
      <c r="B4797" t="str">
        <f>HYPERLINK("ふ/ふ　婦人　玉機微義針灸証治　1537　鍼灸聚英　明・高武_ページ_1.jpg")</f>
        <v>ふ/ふ　婦人　玉機微義針灸証治　1537　鍼灸聚英　明・高武_ページ_1.jpg</v>
      </c>
    </row>
    <row r="4798" spans="1:2" x14ac:dyDescent="0.15">
      <c r="A4798" t="s">
        <v>4771</v>
      </c>
      <c r="B4798" t="str">
        <f>HYPERLINK("ふ/ふ　婦人　玉機微義針灸証治　1537　鍼灸聚英　明・高武_ページ_2.jpg")</f>
        <v>ふ/ふ　婦人　玉機微義針灸証治　1537　鍼灸聚英　明・高武_ページ_2.jpg</v>
      </c>
    </row>
    <row r="4799" spans="1:2" x14ac:dyDescent="0.15">
      <c r="A4799" t="s">
        <v>4772</v>
      </c>
      <c r="B4799" t="str">
        <f>HYPERLINK("ふ/ふ　婦人　玉機微義針灸証治　1537　鍼灸聚英　明・高武_ページ_3.jpg")</f>
        <v>ふ/ふ　婦人　玉機微義針灸証治　1537　鍼灸聚英　明・高武_ページ_3.jpg</v>
      </c>
    </row>
    <row r="4800" spans="1:2" x14ac:dyDescent="0.15">
      <c r="A4800" t="s">
        <v>4773</v>
      </c>
      <c r="B4800" t="str">
        <f>HYPERLINK("ふ/ふ　婦人、腰痛甚しく小便渋る者　女こしいたみて小べんしぶる人　1780　鍼灸極秘伝　木村太沖.jpg")</f>
        <v>ふ/ふ　婦人、腰痛甚しく小便渋る者　女こしいたみて小べんしぶる人　1780　鍼灸極秘伝　木村太沖.jpg</v>
      </c>
    </row>
    <row r="4801" spans="1:2" x14ac:dyDescent="0.15">
      <c r="A4801" t="s">
        <v>4774</v>
      </c>
      <c r="B4801" t="str">
        <f>HYPERLINK("ふ/ふ　婦人の科　1718　鍼灸重宝記　本郷正豊_ページ_1.jpg")</f>
        <v>ふ/ふ　婦人の科　1718　鍼灸重宝記　本郷正豊_ページ_1.jpg</v>
      </c>
    </row>
    <row r="4802" spans="1:2" x14ac:dyDescent="0.15">
      <c r="A4802" t="s">
        <v>4775</v>
      </c>
      <c r="B4802" t="str">
        <f>HYPERLINK("ふ/ふ　婦人の科　1718　鍼灸重宝記　本郷正豊_ページ_2.jpg")</f>
        <v>ふ/ふ　婦人の科　1718　鍼灸重宝記　本郷正豊_ページ_2.jpg</v>
      </c>
    </row>
    <row r="4803" spans="1:2" x14ac:dyDescent="0.15">
      <c r="A4803" t="s">
        <v>4776</v>
      </c>
      <c r="B4803" t="str">
        <f>HYPERLINK("ふ/ふ　婦人の血塊　1607　扁鵲新流鍼書　越齋寿閑.jpg")</f>
        <v>ふ/ふ　婦人の血塊　1607　扁鵲新流鍼書　越齋寿閑.jpg</v>
      </c>
    </row>
    <row r="4804" spans="1:2" x14ac:dyDescent="0.15">
      <c r="A4804" t="s">
        <v>4777</v>
      </c>
      <c r="B4804" t="str">
        <f>HYPERLINK("ふ/ふ　婦人之部　1773　鍼灸手引草　大簡室主人_ページ_1.jpg")</f>
        <v>ふ/ふ　婦人之部　1773　鍼灸手引草　大簡室主人_ページ_1.jpg</v>
      </c>
    </row>
    <row r="4805" spans="1:2" x14ac:dyDescent="0.15">
      <c r="A4805" t="s">
        <v>4778</v>
      </c>
      <c r="B4805" t="str">
        <f>HYPERLINK("ふ/ふ　婦人之部　1773　鍼灸手引草　大簡室主人_ページ_2.jpg")</f>
        <v>ふ/ふ　婦人之部　1773　鍼灸手引草　大簡室主人_ページ_2.jpg</v>
      </c>
    </row>
    <row r="4806" spans="1:2" x14ac:dyDescent="0.15">
      <c r="A4806" t="s">
        <v>4779</v>
      </c>
      <c r="B4806" t="str">
        <f>HYPERLINK("ふ/ふ　婦人乳汁少者　1800　岡田流鍼術書　岡田見龍_ページ_1.jpg")</f>
        <v>ふ/ふ　婦人乳汁少者　1800　岡田流鍼術書　岡田見龍_ページ_1.jpg</v>
      </c>
    </row>
    <row r="4807" spans="1:2" x14ac:dyDescent="0.15">
      <c r="A4807" t="s">
        <v>4780</v>
      </c>
      <c r="B4807" t="str">
        <f>HYPERLINK("ふ/ふ　婦人乳汁少者　1800　岡田流鍼術書　岡田見龍_ページ_2.jpg")</f>
        <v>ふ/ふ　婦人乳汁少者　1800　岡田流鍼術書　岡田見龍_ページ_2.jpg</v>
      </c>
    </row>
    <row r="4808" spans="1:2" x14ac:dyDescent="0.15">
      <c r="A4808" t="s">
        <v>4781</v>
      </c>
      <c r="B4808" t="str">
        <f>HYPERLINK("ふ/ふ　婦人堕胎後手足逆冷　1315　鍼経摘英集　元・杜思敬「済生抜粋方」.jpg")</f>
        <v>ふ/ふ　婦人堕胎後手足逆冷　1315　鍼経摘英集　元・杜思敬「済生抜粋方」.jpg</v>
      </c>
    </row>
    <row r="4809" spans="1:2" x14ac:dyDescent="0.15">
      <c r="A4809" t="s">
        <v>4782</v>
      </c>
      <c r="B4809" t="str">
        <f>HYPERLINK("ふ/ふ　婦人月水不調不懐妊者　1594　経脈方寸秘書　曲直瀬道三_ページ_1.jpg")</f>
        <v>ふ/ふ　婦人月水不調不懐妊者　1594　経脈方寸秘書　曲直瀬道三_ページ_1.jpg</v>
      </c>
    </row>
    <row r="4810" spans="1:2" x14ac:dyDescent="0.15">
      <c r="A4810" t="s">
        <v>4783</v>
      </c>
      <c r="B4810" t="str">
        <f>HYPERLINK("ふ/ふ　婦人月水不調不懐妊者　1594　経脈方寸秘書　曲直瀬道三_ページ_2.jpg")</f>
        <v>ふ/ふ　婦人月水不調不懐妊者　1594　経脈方寸秘書　曲直瀬道三_ページ_2.jpg</v>
      </c>
    </row>
    <row r="4811" spans="1:2" x14ac:dyDescent="0.15">
      <c r="A4811" t="s">
        <v>4784</v>
      </c>
      <c r="B4811" t="str">
        <f>HYPERLINK("ふ/ふ　婦人月経不順或お血崩漏長血白血　1800　岡田流鍼術書　岡田見龍_ページ_1.jpg")</f>
        <v>ふ/ふ　婦人月経不順或お血崩漏長血白血　1800　岡田流鍼術書　岡田見龍_ページ_1.jpg</v>
      </c>
    </row>
    <row r="4812" spans="1:2" x14ac:dyDescent="0.15">
      <c r="A4812" t="s">
        <v>4785</v>
      </c>
      <c r="B4812" t="str">
        <f>HYPERLINK("ふ/ふ　婦人月経不順或お血崩漏長血白血　1800　岡田流鍼術書　岡田見龍_ページ_2.jpg")</f>
        <v>ふ/ふ　婦人月経不順或お血崩漏長血白血　1800　岡田流鍼術書　岡田見龍_ページ_2.jpg</v>
      </c>
    </row>
    <row r="4813" spans="1:2" x14ac:dyDescent="0.15">
      <c r="A4813" t="s">
        <v>4786</v>
      </c>
      <c r="B4813" t="str">
        <f>HYPERLINK("ふ/ふ　婦人淋疾　しやうかち　婦人尿道加多児（カタル）　1887（明治20）　鍼灸備要　青山道醇.jpg")</f>
        <v>ふ/ふ　婦人淋疾　しやうかち　婦人尿道加多児（カタル）　1887（明治20）　鍼灸備要　青山道醇.jpg</v>
      </c>
    </row>
    <row r="4814" spans="1:2" x14ac:dyDescent="0.15">
      <c r="A4814" t="s">
        <v>4787</v>
      </c>
      <c r="B4814" t="str">
        <f>HYPERLINK("ふ/ふ　婦人無子　1220　鍼灸資生経　王執中_ページ_1.jpg")</f>
        <v>ふ/ふ　婦人無子　1220　鍼灸資生経　王執中_ページ_1.jpg</v>
      </c>
    </row>
    <row r="4815" spans="1:2" x14ac:dyDescent="0.15">
      <c r="A4815" t="s">
        <v>4788</v>
      </c>
      <c r="B4815" t="str">
        <f>HYPERLINK("ふ/ふ　婦人無子　1220　鍼灸資生経　王執中_ページ_2.jpg")</f>
        <v>ふ/ふ　婦人無子　1220　鍼灸資生経　王執中_ページ_2.jpg</v>
      </c>
    </row>
    <row r="4816" spans="1:2" x14ac:dyDescent="0.15">
      <c r="A4816" t="s">
        <v>4789</v>
      </c>
      <c r="B4816" t="str">
        <f>HYPERLINK("ふ/ふ　婦人産児死乳仍不止者　1800　岡田流鍼術書　岡田見龍_ページ_1.jpg")</f>
        <v>ふ/ふ　婦人産児死乳仍不止者　1800　岡田流鍼術書　岡田見龍_ページ_1.jpg</v>
      </c>
    </row>
    <row r="4817" spans="1:2" x14ac:dyDescent="0.15">
      <c r="A4817" t="s">
        <v>4790</v>
      </c>
      <c r="B4817" t="str">
        <f>HYPERLINK("ふ/ふ　婦人産児死乳仍不止者　1800　岡田流鍼術書　岡田見龍_ページ_2.jpg")</f>
        <v>ふ/ふ　婦人産児死乳仍不止者　1800　岡田流鍼術書　岡田見龍_ページ_2.jpg</v>
      </c>
    </row>
    <row r="4818" spans="1:2" x14ac:dyDescent="0.15">
      <c r="A4818" t="s">
        <v>4791</v>
      </c>
      <c r="B4818" t="str">
        <f>HYPERLINK("ふ/ふ　婦人産前後諸症　1765　鍼法弁惑　藤井秀孟_ページ_1.jpg")</f>
        <v>ふ/ふ　婦人産前後諸症　1765　鍼法弁惑　藤井秀孟_ページ_1.jpg</v>
      </c>
    </row>
    <row r="4819" spans="1:2" x14ac:dyDescent="0.15">
      <c r="A4819" t="s">
        <v>4792</v>
      </c>
      <c r="B4819" t="str">
        <f>HYPERLINK("ふ/ふ　婦人産前後諸症　1765　鍼法弁惑　藤井秀孟_ページ_2.jpg")</f>
        <v>ふ/ふ　婦人産前後諸症　1765　鍼法弁惑　藤井秀孟_ページ_2.jpg</v>
      </c>
    </row>
    <row r="4820" spans="1:2" x14ac:dyDescent="0.15">
      <c r="A4820" t="s">
        <v>4793</v>
      </c>
      <c r="B4820" t="str">
        <f>HYPERLINK("ふ/ふ　婦人疾病　1669　鍼灸枢要　山本玄通.jpg")</f>
        <v>ふ/ふ　婦人疾病　1669　鍼灸枢要　山本玄通.jpg</v>
      </c>
    </row>
    <row r="4821" spans="1:2" x14ac:dyDescent="0.15">
      <c r="A4821" t="s">
        <v>4794</v>
      </c>
      <c r="B4821" t="str">
        <f>HYPERLINK("ふ/ふ　婦人病　0650　千金方　孫思ばく_ページ_1.jpg")</f>
        <v>ふ/ふ　婦人病　0650　千金方　孫思ばく_ページ_1.jpg</v>
      </c>
    </row>
    <row r="4822" spans="1:2" x14ac:dyDescent="0.15">
      <c r="A4822" t="s">
        <v>4795</v>
      </c>
      <c r="B4822" t="str">
        <f>HYPERLINK("ふ/ふ　婦人病　0650　千金方　孫思ばく_ページ_2.jpg")</f>
        <v>ふ/ふ　婦人病　0650　千金方　孫思ばく_ページ_2.jpg</v>
      </c>
    </row>
    <row r="4823" spans="1:2" x14ac:dyDescent="0.15">
      <c r="A4823" t="s">
        <v>4796</v>
      </c>
      <c r="B4823" t="str">
        <f>HYPERLINK("ふ/ふ　婦人病　0650　千金方　孫思ばく_ページ_3.jpg")</f>
        <v>ふ/ふ　婦人病　0650　千金方　孫思ばく_ページ_3.jpg</v>
      </c>
    </row>
    <row r="4824" spans="1:2" x14ac:dyDescent="0.15">
      <c r="A4824" t="s">
        <v>4797</v>
      </c>
      <c r="B4824" t="str">
        <f>HYPERLINK("ふ/ふ　婦人病　0650　千金方　孫思ばく_ページ_4.jpg")</f>
        <v>ふ/ふ　婦人病　0650　千金方　孫思ばく_ページ_4.jpg</v>
      </c>
    </row>
    <row r="4825" spans="1:2" x14ac:dyDescent="0.15">
      <c r="A4825" t="s">
        <v>4798</v>
      </c>
      <c r="B4825" t="str">
        <f>HYPERLINK("ふ/ふ　婦人病　1624　類経図翼　明・張介賓_ページ_1.jpg")</f>
        <v>ふ/ふ　婦人病　1624　類経図翼　明・張介賓_ページ_1.jpg</v>
      </c>
    </row>
    <row r="4826" spans="1:2" x14ac:dyDescent="0.15">
      <c r="A4826" t="s">
        <v>4799</v>
      </c>
      <c r="B4826" t="str">
        <f>HYPERLINK("ふ/ふ　婦人病　1624　類経図翼　明・張介賓_ページ_2.jpg")</f>
        <v>ふ/ふ　婦人病　1624　類経図翼　明・張介賓_ページ_2.jpg</v>
      </c>
    </row>
    <row r="4827" spans="1:2" x14ac:dyDescent="0.15">
      <c r="A4827" t="s">
        <v>4800</v>
      </c>
      <c r="B4827" t="str">
        <f>HYPERLINK("ふ/ふ　婦人病　1624　類経図翼　明・張介賓_ページ_3.jpg")</f>
        <v>ふ/ふ　婦人病　1624　類経図翼　明・張介賓_ページ_3.jpg</v>
      </c>
    </row>
    <row r="4828" spans="1:2" x14ac:dyDescent="0.15">
      <c r="A4828" t="s">
        <v>4801</v>
      </c>
      <c r="B4828" t="str">
        <f>HYPERLINK("ふ/ふ　婦人病　1624　類経図翼　明・張介賓_ページ_4.jpg")</f>
        <v>ふ/ふ　婦人病　1624　類経図翼　明・張介賓_ページ_4.jpg</v>
      </c>
    </row>
    <row r="4829" spans="1:2" x14ac:dyDescent="0.15">
      <c r="A4829" t="s">
        <v>4802</v>
      </c>
      <c r="B4829" t="str">
        <f>HYPERLINK("ふ/ふ　婦人病　1624　類経図翼　明・張介賓_ページ_5.jpg")</f>
        <v>ふ/ふ　婦人病　1624　類経図翼　明・張介賓_ページ_5.jpg</v>
      </c>
    </row>
    <row r="4830" spans="1:2" x14ac:dyDescent="0.15">
      <c r="A4830" t="s">
        <v>4803</v>
      </c>
      <c r="B4830" t="str">
        <f>HYPERLINK("ふ/ふ　婦人病　1624　類経図翼　明・張介賓_ページ_6.jpg")</f>
        <v>ふ/ふ　婦人病　1624　類経図翼　明・張介賓_ページ_6.jpg</v>
      </c>
    </row>
    <row r="4831" spans="1:2" x14ac:dyDescent="0.15">
      <c r="A4831" t="s">
        <v>4804</v>
      </c>
      <c r="B4831" t="str">
        <f>HYPERLINK("ふ/ふ　婦人病　1761　挨穴捷径　杉原敦_ページ_1.jpg")</f>
        <v>ふ/ふ　婦人病　1761　挨穴捷径　杉原敦_ページ_1.jpg</v>
      </c>
    </row>
    <row r="4832" spans="1:2" x14ac:dyDescent="0.15">
      <c r="A4832" t="s">
        <v>4805</v>
      </c>
      <c r="B4832" t="str">
        <f>HYPERLINK("ふ/ふ　婦人病　1761　挨穴捷径　杉原敦_ページ_2.jpg")</f>
        <v>ふ/ふ　婦人病　1761　挨穴捷径　杉原敦_ページ_2.jpg</v>
      </c>
    </row>
    <row r="4833" spans="1:2" x14ac:dyDescent="0.15">
      <c r="A4833" t="s">
        <v>4806</v>
      </c>
      <c r="B4833" t="str">
        <f>HYPERLINK("ふ/ふ　婦人病　1761　挨穴捷径　杉原敦_ページ_3.jpg")</f>
        <v>ふ/ふ　婦人病　1761　挨穴捷径　杉原敦_ページ_3.jpg</v>
      </c>
    </row>
    <row r="4834" spans="1:2" x14ac:dyDescent="0.15">
      <c r="A4834" t="s">
        <v>4807</v>
      </c>
      <c r="B4834" t="str">
        <f>HYPERLINK("ふ/ふ　婦人病、血結月事不調　1694　選鍼三要集　杉山和一.jpg")</f>
        <v>ふ/ふ　婦人病、血結月事不調　1694　選鍼三要集　杉山和一.jpg</v>
      </c>
    </row>
    <row r="4835" spans="1:2" x14ac:dyDescent="0.15">
      <c r="A4835" t="s">
        <v>4808</v>
      </c>
      <c r="B4835" t="str">
        <f>HYPERLINK("ふ/ふ　婦人科　1767　鍼灸則　菅沼周桂_ページ_1.jpg")</f>
        <v>ふ/ふ　婦人科　1767　鍼灸則　菅沼周桂_ページ_1.jpg</v>
      </c>
    </row>
    <row r="4836" spans="1:2" x14ac:dyDescent="0.15">
      <c r="A4836" t="s">
        <v>4809</v>
      </c>
      <c r="B4836" t="str">
        <f>HYPERLINK("ふ/ふ　婦人科　1767　鍼灸則　菅沼周桂_ページ_2.jpg")</f>
        <v>ふ/ふ　婦人科　1767　鍼灸則　菅沼周桂_ページ_2.jpg</v>
      </c>
    </row>
    <row r="4837" spans="1:2" x14ac:dyDescent="0.15">
      <c r="A4837" t="s">
        <v>4810</v>
      </c>
      <c r="B4837" t="str">
        <f>HYPERLINK("ふ/ふ　婦人科　1767　鍼灸則　菅沼周桂_ページ_3.jpg")</f>
        <v>ふ/ふ　婦人科　1767　鍼灸則　菅沼周桂_ページ_3.jpg</v>
      </c>
    </row>
    <row r="4838" spans="1:2" x14ac:dyDescent="0.15">
      <c r="A4838" t="s">
        <v>4811</v>
      </c>
      <c r="B4838" t="str">
        <f>HYPERLINK("ふ/ふ　婦人経脈不通　1315　鍼経摘英集　元・杜思敬「済生抜粋方」_ページ_1.jpg")</f>
        <v>ふ/ふ　婦人経脈不通　1315　鍼経摘英集　元・杜思敬「済生抜粋方」_ページ_1.jpg</v>
      </c>
    </row>
    <row r="4839" spans="1:2" x14ac:dyDescent="0.15">
      <c r="A4839" t="s">
        <v>4812</v>
      </c>
      <c r="B4839" t="str">
        <f>HYPERLINK("ふ/ふ　婦人経脈不通　1315　鍼経摘英集　元・杜思敬「済生抜粋方」_ページ_2.jpg")</f>
        <v>ふ/ふ　婦人経脈不通　1315　鍼経摘英集　元・杜思敬「済生抜粋方」_ページ_2.jpg</v>
      </c>
    </row>
    <row r="4840" spans="1:2" x14ac:dyDescent="0.15">
      <c r="A4840" t="s">
        <v>4813</v>
      </c>
      <c r="B4840" t="str">
        <f>HYPERLINK("ふ/ふ　婦人経血過多不止并崩中者　1315　鍼経摘英集　元・杜思敬「済生抜粋方」.jpg")</f>
        <v>ふ/ふ　婦人経血過多不止并崩中者　1315　鍼経摘英集　元・杜思敬「済生抜粋方」.jpg</v>
      </c>
    </row>
    <row r="4841" spans="1:2" x14ac:dyDescent="0.15">
      <c r="A4841" t="s">
        <v>4814</v>
      </c>
      <c r="B4841" t="str">
        <f>HYPERLINK("ふ/ふ　婦人血塊　或　男子疝気　1758　灸ぜつ塩土伝　三宅意安_ページ_1.jpg")</f>
        <v>ふ/ふ　婦人血塊　或　男子疝気　1758　灸ぜつ塩土伝　三宅意安_ページ_1.jpg</v>
      </c>
    </row>
    <row r="4842" spans="1:2" x14ac:dyDescent="0.15">
      <c r="A4842" t="s">
        <v>4815</v>
      </c>
      <c r="B4842" t="str">
        <f>HYPERLINK("ふ/ふ　婦人血塊　或　男子疝気　1758　灸ぜつ塩土伝　三宅意安_ページ_2.jpg")</f>
        <v>ふ/ふ　婦人血塊　或　男子疝気　1758　灸ぜつ塩土伝　三宅意安_ページ_2.jpg</v>
      </c>
    </row>
    <row r="4843" spans="1:2" x14ac:dyDescent="0.15">
      <c r="A4843" t="s">
        <v>4816</v>
      </c>
      <c r="B4843" t="str">
        <f>HYPERLINK("ふ/ふ　婦人血塊　或　男子疝気　1758　灸ぜつ塩土伝　三宅意安_ページ_3.jpg")</f>
        <v>ふ/ふ　婦人血塊　或　男子疝気　1758　灸ぜつ塩土伝　三宅意安_ページ_3.jpg</v>
      </c>
    </row>
    <row r="4844" spans="1:2" x14ac:dyDescent="0.15">
      <c r="A4844" t="s">
        <v>4817</v>
      </c>
      <c r="B4844" t="str">
        <f>HYPERLINK("ふ/ふ　婦人血塊　月水不調　1758　灸ぜつ塩土伝　三宅意安_ページ_1.jpg")</f>
        <v>ふ/ふ　婦人血塊　月水不調　1758　灸ぜつ塩土伝　三宅意安_ページ_1.jpg</v>
      </c>
    </row>
    <row r="4845" spans="1:2" x14ac:dyDescent="0.15">
      <c r="A4845" t="s">
        <v>4818</v>
      </c>
      <c r="B4845" t="str">
        <f>HYPERLINK("ふ/ふ　婦人血塊　月水不調　1758　灸ぜつ塩土伝　三宅意安_ページ_2.jpg")</f>
        <v>ふ/ふ　婦人血塊　月水不調　1758　灸ぜつ塩土伝　三宅意安_ページ_2.jpg</v>
      </c>
    </row>
    <row r="4846" spans="1:2" x14ac:dyDescent="0.15">
      <c r="A4846" t="s">
        <v>4819</v>
      </c>
      <c r="B4846" t="str">
        <f>HYPERLINK("ふ/ふ　婦人血塊　月水不調　1758　灸ぜつ塩土伝　三宅意安_ページ_3.jpg")</f>
        <v>ふ/ふ　婦人血塊　月水不調　1758　灸ぜつ塩土伝　三宅意安_ページ_3.jpg</v>
      </c>
    </row>
    <row r="4847" spans="1:2" x14ac:dyDescent="0.15">
      <c r="A4847" t="s">
        <v>4820</v>
      </c>
      <c r="B4847" t="str">
        <f>HYPERLINK("ふ/ふ　婦人血暈　1765　鍼法弁惑　藤井秀孟_ページ_1.jpg")</f>
        <v>ふ/ふ　婦人血暈　1765　鍼法弁惑　藤井秀孟_ページ_1.jpg</v>
      </c>
    </row>
    <row r="4848" spans="1:2" x14ac:dyDescent="0.15">
      <c r="A4848" t="s">
        <v>4821</v>
      </c>
      <c r="B4848" t="str">
        <f>HYPERLINK("ふ/ふ　婦人血暈　1765　鍼法弁惑　藤井秀孟_ページ_2.jpg")</f>
        <v>ふ/ふ　婦人血暈　1765　鍼法弁惑　藤井秀孟_ページ_2.jpg</v>
      </c>
    </row>
    <row r="4849" spans="1:2" x14ac:dyDescent="0.15">
      <c r="A4849" t="s">
        <v>4822</v>
      </c>
      <c r="B4849" t="str">
        <f>HYPERLINK("ふ/ふ　婦人血気痛　1220　鍼灸資生経　王執中_ページ_1.jpg")</f>
        <v>ふ/ふ　婦人血気痛　1220　鍼灸資生経　王執中_ページ_1.jpg</v>
      </c>
    </row>
    <row r="4850" spans="1:2" x14ac:dyDescent="0.15">
      <c r="A4850" t="s">
        <v>4823</v>
      </c>
      <c r="B4850" t="str">
        <f>HYPERLINK("ふ/ふ　婦人血気痛　1220　鍼灸資生経　王執中_ページ_2.jpg")</f>
        <v>ふ/ふ　婦人血気痛　1220　鍼灸資生経　王執中_ページ_2.jpg</v>
      </c>
    </row>
    <row r="4851" spans="1:2" x14ac:dyDescent="0.15">
      <c r="A4851" t="s">
        <v>4824</v>
      </c>
      <c r="B4851" t="str">
        <f>HYPERLINK("ふ/ふ　婦人諸証　1574　兪穴参伍的法　秦宗巴.jpg")</f>
        <v>ふ/ふ　婦人諸証　1574　兪穴参伍的法　秦宗巴.jpg</v>
      </c>
    </row>
    <row r="4852" spans="1:2" x14ac:dyDescent="0.15">
      <c r="A4852" t="s">
        <v>4825</v>
      </c>
      <c r="B4852" t="str">
        <f>HYPERLINK("ふ/ふ　婦人門　女の疾を集め書くなり　1694　療治之大概集　杉山和一.jpg")</f>
        <v>ふ/ふ　婦人門　女の疾を集め書くなり　1694　療治之大概集　杉山和一.jpg</v>
      </c>
    </row>
    <row r="4853" spans="1:2" x14ac:dyDescent="0.15">
      <c r="A4853" t="s">
        <v>4826</v>
      </c>
      <c r="B4853" t="str">
        <f>HYPERLINK("ふ/ふ　婦人難生　1226　備急灸法　宋・聞人耆年.jpg")</f>
        <v>ふ/ふ　婦人難生　1226　備急灸法　宋・聞人耆年.jpg</v>
      </c>
    </row>
    <row r="4854" spans="1:2" x14ac:dyDescent="0.15">
      <c r="A4854" t="s">
        <v>4827</v>
      </c>
      <c r="B4854" t="str">
        <f>HYPERLINK("ふ/ふ　風　0650　千金方　孫思ばく_ページ_1.jpg")</f>
        <v>ふ/ふ　風　0650　千金方　孫思ばく_ページ_1.jpg</v>
      </c>
    </row>
    <row r="4855" spans="1:2" x14ac:dyDescent="0.15">
      <c r="A4855" t="s">
        <v>4828</v>
      </c>
      <c r="B4855" t="str">
        <f>HYPERLINK("ふ/ふ　風　0650　千金方　孫思ばく_ページ_2.jpg")</f>
        <v>ふ/ふ　風　0650　千金方　孫思ばく_ページ_2.jpg</v>
      </c>
    </row>
    <row r="4856" spans="1:2" x14ac:dyDescent="0.15">
      <c r="A4856" t="s">
        <v>4829</v>
      </c>
      <c r="B4856" t="str">
        <f>HYPERLINK("ふ/ふう　風　1299　続添要穴集　惟宗時俊.jpg")</f>
        <v>ふ/ふう　風　1299　続添要穴集　惟宗時俊.jpg</v>
      </c>
    </row>
    <row r="4857" spans="1:2" x14ac:dyDescent="0.15">
      <c r="A4857" t="s">
        <v>4830</v>
      </c>
      <c r="B4857" t="str">
        <f>HYPERLINK("ふ/ふう　風　1425　神応経　明・陳会撰・劉瑾重校_ページ_1.jpg")</f>
        <v>ふ/ふう　風　1425　神応経　明・陳会撰・劉瑾重校_ページ_1.jpg</v>
      </c>
    </row>
    <row r="4858" spans="1:2" x14ac:dyDescent="0.15">
      <c r="A4858" t="s">
        <v>4831</v>
      </c>
      <c r="B4858" t="str">
        <f>HYPERLINK("ふ/ふう　風　1425　神応経　明・陳会撰・劉瑾重校_ページ_2.jpg")</f>
        <v>ふ/ふう　風　1425　神応経　明・陳会撰・劉瑾重校_ページ_2.jpg</v>
      </c>
    </row>
    <row r="4859" spans="1:2" x14ac:dyDescent="0.15">
      <c r="A4859" t="s">
        <v>4832</v>
      </c>
      <c r="B4859" t="str">
        <f>HYPERLINK("ふ/ふう　風　1537　鍼灸聚英　明・高武_ページ_1.jpg")</f>
        <v>ふ/ふう　風　1537　鍼灸聚英　明・高武_ページ_1.jpg</v>
      </c>
    </row>
    <row r="4860" spans="1:2" x14ac:dyDescent="0.15">
      <c r="A4860" t="s">
        <v>4833</v>
      </c>
      <c r="B4860" t="str">
        <f>HYPERLINK("ふ/ふう　風　1537　鍼灸聚英　明・高武_ページ_2.jpg")</f>
        <v>ふ/ふう　風　1537　鍼灸聚英　明・高武_ページ_2.jpg</v>
      </c>
    </row>
    <row r="4861" spans="1:2" x14ac:dyDescent="0.15">
      <c r="A4861" t="s">
        <v>4834</v>
      </c>
      <c r="B4861" t="str">
        <f>HYPERLINK("ふ/ふう　風　●陽受病発　第二上　0300　鍼灸甲乙経　皇甫謐_ページ_1.jpg")</f>
        <v>ふ/ふう　風　●陽受病発　第二上　0300　鍼灸甲乙経　皇甫謐_ページ_1.jpg</v>
      </c>
    </row>
    <row r="4862" spans="1:2" x14ac:dyDescent="0.15">
      <c r="A4862" t="s">
        <v>4835</v>
      </c>
      <c r="B4862" t="str">
        <f>HYPERLINK("ふ/ふう　風　●陽受病発　第二上　0300　鍼灸甲乙経　皇甫謐_ページ_2.jpg")</f>
        <v>ふ/ふう　風　●陽受病発　第二上　0300　鍼灸甲乙経　皇甫謐_ページ_2.jpg</v>
      </c>
    </row>
    <row r="4863" spans="1:2" x14ac:dyDescent="0.15">
      <c r="A4863" t="s">
        <v>4836</v>
      </c>
      <c r="B4863" t="str">
        <f>HYPERLINK("ふ/ふう　風　●陽受病発　第二上　0300　鍼灸甲乙経　皇甫謐_ページ_3.jpg")</f>
        <v>ふ/ふう　風　●陽受病発　第二上　0300　鍼灸甲乙経　皇甫謐_ページ_3.jpg</v>
      </c>
    </row>
    <row r="4864" spans="1:2" x14ac:dyDescent="0.15">
      <c r="A4864" t="s">
        <v>4837</v>
      </c>
      <c r="B4864" t="str">
        <f>HYPERLINK("ふ/ふう　風　●陽受病発　第二上　0300　鍼灸甲乙経　皇甫謐_ページ_4.jpg")</f>
        <v>ふ/ふう　風　●陽受病発　第二上　0300　鍼灸甲乙経　皇甫謐_ページ_4.jpg</v>
      </c>
    </row>
    <row r="4865" spans="1:2" x14ac:dyDescent="0.15">
      <c r="A4865" t="s">
        <v>4838</v>
      </c>
      <c r="B4865" t="str">
        <f>HYPERLINK("ふ/ふう　風　●陽受病発　第二下　0300　鍼灸甲乙経　皇甫謐_ページ_1.jpg")</f>
        <v>ふ/ふう　風　●陽受病発　第二下　0300　鍼灸甲乙経　皇甫謐_ページ_1.jpg</v>
      </c>
    </row>
    <row r="4866" spans="1:2" x14ac:dyDescent="0.15">
      <c r="A4866" t="s">
        <v>4839</v>
      </c>
      <c r="B4866" t="str">
        <f>HYPERLINK("ふ/ふう　風　●陽受病発　第二下　0300　鍼灸甲乙経　皇甫謐_ページ_2.jpg")</f>
        <v>ふ/ふう　風　●陽受病発　第二下　0300　鍼灸甲乙経　皇甫謐_ページ_2.jpg</v>
      </c>
    </row>
    <row r="4867" spans="1:2" x14ac:dyDescent="0.15">
      <c r="A4867" t="s">
        <v>4840</v>
      </c>
      <c r="B4867" t="str">
        <f>HYPERLINK("ふ/ふう　風　●陽受病発　第二下　0300　鍼灸甲乙経　皇甫謐_ページ_3.jpg")</f>
        <v>ふ/ふう　風　●陽受病発　第二下　0300　鍼灸甲乙経　皇甫謐_ページ_3.jpg</v>
      </c>
    </row>
    <row r="4868" spans="1:2" x14ac:dyDescent="0.15">
      <c r="A4868" t="s">
        <v>4841</v>
      </c>
      <c r="B4868" t="str">
        <f>HYPERLINK("ふ/ふう　風しん　1299　続添要穴集　惟宗時俊.jpg")</f>
        <v>ふ/ふう　風しん　1299　続添要穴集　惟宗時俊.jpg</v>
      </c>
    </row>
    <row r="4869" spans="1:2" x14ac:dyDescent="0.15">
      <c r="A4869" t="s">
        <v>4842</v>
      </c>
      <c r="B4869" t="str">
        <f>HYPERLINK("ふ/ふう　風労　1299　続添要穴集　惟宗時俊.jpg")</f>
        <v>ふ/ふう　風労　1299　続添要穴集　惟宗時俊.jpg</v>
      </c>
    </row>
    <row r="4870" spans="1:2" x14ac:dyDescent="0.15">
      <c r="A4870" t="s">
        <v>4843</v>
      </c>
      <c r="B4870" t="str">
        <f>HYPERLINK("ふ/ふう　風労（余見労）　1220　鍼灸資生経　王執中.jpg")</f>
        <v>ふ/ふう　風労（余見労）　1220　鍼灸資生経　王執中.jpg</v>
      </c>
    </row>
    <row r="4871" spans="1:2" x14ac:dyDescent="0.15">
      <c r="A4871" t="s">
        <v>4844</v>
      </c>
      <c r="B4871" t="str">
        <f>HYPERLINK("ふ/ふう　風湿痛風　ふうしつつうふう　僂麻質斯（リウマチス）　1887（明治20）　鍼灸備要　青山道醇.jpg")</f>
        <v>ふ/ふう　風湿痛風　ふうしつつうふう　僂麻質斯（リウマチス）　1887（明治20）　鍼灸備要　青山道醇.jpg</v>
      </c>
    </row>
    <row r="4872" spans="1:2" x14ac:dyDescent="0.15">
      <c r="A4872" t="s">
        <v>4845</v>
      </c>
      <c r="B4872" t="str">
        <f>HYPERLINK("ふ/ふう　風牙疼　1226　備急灸法　宋・聞人耆年.jpg")</f>
        <v>ふ/ふう　風牙疼　1226　備急灸法　宋・聞人耆年.jpg</v>
      </c>
    </row>
    <row r="4873" spans="1:2" x14ac:dyDescent="0.15">
      <c r="A4873" t="s">
        <v>4846</v>
      </c>
      <c r="B4873" t="str">
        <f>HYPERLINK("ふ/ふう　風狂　1574　兪穴参伍的法　秦宗巴.jpg")</f>
        <v>ふ/ふう　風狂　1574　兪穴参伍的法　秦宗巴.jpg</v>
      </c>
    </row>
    <row r="4874" spans="1:2" x14ac:dyDescent="0.15">
      <c r="A4874" t="s">
        <v>4847</v>
      </c>
      <c r="B4874" t="str">
        <f>HYPERLINK("ふ/ふう　風疹（いん疹）　1220　鍼灸資生経　王執中.jpg")</f>
        <v>ふ/ふう　風疹（いん疹）　1220　鍼灸資生経　王執中.jpg</v>
      </c>
    </row>
    <row r="4875" spans="1:2" x14ac:dyDescent="0.15">
      <c r="A4875" t="s">
        <v>4848</v>
      </c>
      <c r="B4875" t="str">
        <f>HYPERLINK("ふ/ふう　風痙（角弓反張）　1220　鍼灸資生経　王執中_ページ_1.jpg")</f>
        <v>ふ/ふう　風痙（角弓反張）　1220　鍼灸資生経　王執中_ページ_1.jpg</v>
      </c>
    </row>
    <row r="4876" spans="1:2" x14ac:dyDescent="0.15">
      <c r="A4876" t="s">
        <v>4849</v>
      </c>
      <c r="B4876" t="str">
        <f>HYPERLINK("ふ/ふう　風痙（角弓反張）　1220　鍼灸資生経　王執中_ページ_2.jpg")</f>
        <v>ふ/ふう　風痙（角弓反張）　1220　鍼灸資生経　王執中_ページ_2.jpg</v>
      </c>
    </row>
    <row r="4877" spans="1:2" x14ac:dyDescent="0.15">
      <c r="A4877" t="s">
        <v>4850</v>
      </c>
      <c r="B4877" t="str">
        <f>HYPERLINK("ふ/ふう　風痰頭痛　1315　鍼経摘英集　元・杜思敬「済生抜粋方」.jpg")</f>
        <v>ふ/ふう　風痰頭痛　1315　鍼経摘英集　元・杜思敬「済生抜粋方」.jpg</v>
      </c>
    </row>
    <row r="4878" spans="1:2" x14ac:dyDescent="0.15">
      <c r="A4878" t="s">
        <v>4851</v>
      </c>
      <c r="B4878" t="str">
        <f>HYPERLINK("ふ/ふう　風痺不仁　1624　類経図翼　明・張介賓_ページ_1.jpg")</f>
        <v>ふ/ふう　風痺不仁　1624　類経図翼　明・張介賓_ページ_1.jpg</v>
      </c>
    </row>
    <row r="4879" spans="1:2" x14ac:dyDescent="0.15">
      <c r="A4879" t="s">
        <v>4852</v>
      </c>
      <c r="B4879" t="str">
        <f>HYPERLINK("ふ/ふう　風痺不仁　1624　類経図翼　明・張介賓_ページ_2.jpg")</f>
        <v>ふ/ふう　風痺不仁　1624　類経図翼　明・張介賓_ページ_2.jpg</v>
      </c>
    </row>
    <row r="4880" spans="1:2" x14ac:dyDescent="0.15">
      <c r="A4880" t="s">
        <v>4853</v>
      </c>
      <c r="B4880" t="str">
        <f>HYPERLINK("ふ/ふう　風痺（余見肩穴）　1220　鍼灸資生経　王執中_ページ_1.jpg")</f>
        <v>ふ/ふう　風痺（余見肩穴）　1220　鍼灸資生経　王執中_ページ_1.jpg</v>
      </c>
    </row>
    <row r="4881" spans="1:2" x14ac:dyDescent="0.15">
      <c r="A4881" t="s">
        <v>4854</v>
      </c>
      <c r="B4881" t="str">
        <f>HYPERLINK("ふ/ふう　風痺（余見肩穴）　1220　鍼灸資生経　王執中_ページ_2.jpg")</f>
        <v>ふ/ふう　風痺（余見肩穴）　1220　鍼灸資生経　王執中_ページ_2.jpg</v>
      </c>
    </row>
    <row r="4882" spans="1:2" x14ac:dyDescent="0.15">
      <c r="A4882" t="s">
        <v>4855</v>
      </c>
      <c r="B4882" t="str">
        <f>HYPERLINK("ふ/ふう　風癇　1563　鍼灸集要　曲直瀬道三.jpg")</f>
        <v>ふ/ふう　風癇　1563　鍼灸集要　曲直瀬道三.jpg</v>
      </c>
    </row>
    <row r="4883" spans="1:2" x14ac:dyDescent="0.15">
      <c r="A4883" t="s">
        <v>4856</v>
      </c>
      <c r="B4883" t="str">
        <f>HYPERLINK("ふ/ふう　風癇熱病，心風驚悸，霍乱吐痢，伏梁気状如覆杯　1315　鍼経摘英集　元・杜思敬「済生抜粋方」.jpg")</f>
        <v>ふ/ふう　風癇熱病，心風驚悸，霍乱吐痢，伏梁気状如覆杯　1315　鍼経摘英集　元・杜思敬「済生抜粋方」.jpg</v>
      </c>
    </row>
    <row r="4884" spans="1:2" x14ac:dyDescent="0.15">
      <c r="A4884" t="s">
        <v>4857</v>
      </c>
      <c r="B4884" t="str">
        <f>HYPERLINK("ふ/ふう　風癇（五癇）　1220　鍼灸資生経　王執中_ページ_1.jpg")</f>
        <v>ふ/ふう　風癇（五癇）　1220　鍼灸資生経　王執中_ページ_1.jpg</v>
      </c>
    </row>
    <row r="4885" spans="1:2" x14ac:dyDescent="0.15">
      <c r="A4885" t="s">
        <v>4858</v>
      </c>
      <c r="B4885" t="str">
        <f>HYPERLINK("ふ/ふう　風癇（五癇）　1220　鍼灸資生経　王執中_ページ_2.jpg")</f>
        <v>ふ/ふう　風癇（五癇）　1220　鍼灸資生経　王執中_ページ_2.jpg</v>
      </c>
    </row>
    <row r="4886" spans="1:2" x14ac:dyDescent="0.15">
      <c r="A4886" t="s">
        <v>4859</v>
      </c>
      <c r="B4886" t="str">
        <f>HYPERLINK("ふ/ふう　風癇（五癇）　1220　鍼灸資生経　王執中_ページ_3.jpg")</f>
        <v>ふ/ふう　風癇（五癇）　1220　鍼灸資生経　王執中_ページ_3.jpg</v>
      </c>
    </row>
    <row r="4887" spans="1:2" x14ac:dyDescent="0.15">
      <c r="A4887" t="s">
        <v>4860</v>
      </c>
      <c r="B4887" t="str">
        <f>HYPERLINK("ふ/ふう　風眩（余見頭目眩 余論見風癇）　1220　鍼灸資生経　王執中.jpg")</f>
        <v>ふ/ふう　風眩（余見頭目眩 余論見風癇）　1220　鍼灸資生経　王執中.jpg</v>
      </c>
    </row>
    <row r="4888" spans="1:2" x14ac:dyDescent="0.15">
      <c r="A4888" t="s">
        <v>4861</v>
      </c>
      <c r="B4888" t="str">
        <f>HYPERLINK("ふ/ふう　風眼　1765　鍼法弁惑　藤井秀孟.jpg")</f>
        <v>ふ/ふう　風眼　1765　鍼法弁惑　藤井秀孟.jpg</v>
      </c>
    </row>
    <row r="4889" spans="1:2" x14ac:dyDescent="0.15">
      <c r="A4889" t="s">
        <v>4862</v>
      </c>
      <c r="B4889" t="str">
        <f>HYPERLINK("ふ/ふう　風邪　1299　続添要穴集　惟宗時俊.jpg")</f>
        <v>ふ/ふう　風邪　1299　続添要穴集　惟宗時俊.jpg</v>
      </c>
    </row>
    <row r="4890" spans="1:2" x14ac:dyDescent="0.15">
      <c r="A4890" t="s">
        <v>4863</v>
      </c>
      <c r="B4890" t="str">
        <f>HYPERLINK("ふ/ふう　（風水面ふ腫）●腎風発風水面ふ腫　第五　0300　鍼灸甲乙経　皇甫謐_ページ_1.jpg")</f>
        <v>ふ/ふう　（風水面ふ腫）●腎風発風水面ふ腫　第五　0300　鍼灸甲乙経　皇甫謐_ページ_1.jpg</v>
      </c>
    </row>
    <row r="4891" spans="1:2" x14ac:dyDescent="0.15">
      <c r="A4891" t="s">
        <v>4864</v>
      </c>
      <c r="B4891" t="str">
        <f>HYPERLINK("ふ/ふう　（風水面ふ腫）●腎風発風水面ふ腫　第五　0300　鍼灸甲乙経　皇甫謐_ページ_2.jpg")</f>
        <v>ふ/ふう　（風水面ふ腫）●腎風発風水面ふ腫　第五　0300　鍼灸甲乙経　皇甫謐_ページ_2.jpg</v>
      </c>
    </row>
    <row r="4892" spans="1:2" x14ac:dyDescent="0.15">
      <c r="A4892" t="s">
        <v>4865</v>
      </c>
      <c r="B4892" t="str">
        <f>HYPERLINK("ふ/ふく　小児腹腫痛　1607　扁鵲新流鍼書　越齋寿閑.jpg")</f>
        <v>ふ/ふく　小児腹腫痛　1607　扁鵲新流鍼書　越齋寿閑.jpg</v>
      </c>
    </row>
    <row r="4893" spans="1:2" x14ac:dyDescent="0.15">
      <c r="A4893" t="s">
        <v>4866</v>
      </c>
      <c r="B4893" t="str">
        <f>HYPERLINK("ふ/ふく　腹　腹痛　腹水鳴　腸鳴　1669　鍼灸枢要　山本玄通_ページ_01.jpg")</f>
        <v>ふ/ふく　腹　腹痛　腹水鳴　腸鳴　1669　鍼灸枢要　山本玄通_ページ_01.jpg</v>
      </c>
    </row>
    <row r="4894" spans="1:2" x14ac:dyDescent="0.15">
      <c r="A4894" t="s">
        <v>4867</v>
      </c>
      <c r="B4894" t="str">
        <f>HYPERLINK("ふ/ふく　腹　腹痛　腹水鳴　腸鳴　1669　鍼灸枢要　山本玄通_ページ_02.jpg")</f>
        <v>ふ/ふく　腹　腹痛　腹水鳴　腸鳴　1669　鍼灸枢要　山本玄通_ページ_02.jpg</v>
      </c>
    </row>
    <row r="4895" spans="1:2" x14ac:dyDescent="0.15">
      <c r="A4895" t="s">
        <v>4868</v>
      </c>
      <c r="B4895" t="str">
        <f>HYPERLINK("ふ/ふく　腹　腹痛　腹水鳴　腸鳴　1669　鍼灸枢要　山本玄通_ページ_03.jpg")</f>
        <v>ふ/ふく　腹　腹痛　腹水鳴　腸鳴　1669　鍼灸枢要　山本玄通_ページ_03.jpg</v>
      </c>
    </row>
    <row r="4896" spans="1:2" x14ac:dyDescent="0.15">
      <c r="A4896" t="s">
        <v>4869</v>
      </c>
      <c r="B4896" t="str">
        <f>HYPERLINK("ふ/ふく　腹　腹痛　腹水鳴　腸鳴　1669　鍼灸枢要　山本玄通_ページ_04.jpg")</f>
        <v>ふ/ふく　腹　腹痛　腹水鳴　腸鳴　1669　鍼灸枢要　山本玄通_ページ_04.jpg</v>
      </c>
    </row>
    <row r="4897" spans="1:2" x14ac:dyDescent="0.15">
      <c r="A4897" t="s">
        <v>4870</v>
      </c>
      <c r="B4897" t="str">
        <f>HYPERLINK("ふ/ふく　腹　腹痛　腹水鳴　腸鳴　1669　鍼灸枢要　山本玄通_ページ_05.jpg")</f>
        <v>ふ/ふく　腹　腹痛　腹水鳴　腸鳴　1669　鍼灸枢要　山本玄通_ページ_05.jpg</v>
      </c>
    </row>
    <row r="4898" spans="1:2" x14ac:dyDescent="0.15">
      <c r="A4898" t="s">
        <v>4871</v>
      </c>
      <c r="B4898" t="str">
        <f>HYPERLINK("ふ/ふく　腹　腹痛　腹水鳴　腸鳴　1669　鍼灸枢要　山本玄通_ページ_06.jpg")</f>
        <v>ふ/ふく　腹　腹痛　腹水鳴　腸鳴　1669　鍼灸枢要　山本玄通_ページ_06.jpg</v>
      </c>
    </row>
    <row r="4899" spans="1:2" x14ac:dyDescent="0.15">
      <c r="A4899" t="s">
        <v>4872</v>
      </c>
      <c r="B4899" t="str">
        <f>HYPERLINK("ふ/ふく　腹　腹痛　腹水鳴　腸鳴　1669　鍼灸枢要　山本玄通_ページ_07.jpg")</f>
        <v>ふ/ふく　腹　腹痛　腹水鳴　腸鳴　1669　鍼灸枢要　山本玄通_ページ_07.jpg</v>
      </c>
    </row>
    <row r="4900" spans="1:2" x14ac:dyDescent="0.15">
      <c r="A4900" t="s">
        <v>4873</v>
      </c>
      <c r="B4900" t="str">
        <f>HYPERLINK("ふ/ふく　腹　腹痛　腹水鳴　腸鳴　1669　鍼灸枢要　山本玄通_ページ_08.jpg")</f>
        <v>ふ/ふく　腹　腹痛　腹水鳴　腸鳴　1669　鍼灸枢要　山本玄通_ページ_08.jpg</v>
      </c>
    </row>
    <row r="4901" spans="1:2" x14ac:dyDescent="0.15">
      <c r="A4901" t="s">
        <v>4874</v>
      </c>
      <c r="B4901" t="str">
        <f>HYPERLINK("ふ/ふく　腹　腹痛　腹水鳴　腸鳴　1669　鍼灸枢要　山本玄通_ページ_09.jpg")</f>
        <v>ふ/ふく　腹　腹痛　腹水鳴　腸鳴　1669　鍼灸枢要　山本玄通_ページ_09.jpg</v>
      </c>
    </row>
    <row r="4902" spans="1:2" x14ac:dyDescent="0.15">
      <c r="A4902" t="s">
        <v>4875</v>
      </c>
      <c r="B4902" t="str">
        <f>HYPERLINK("ふ/ふく　腹　腹痛　腹水鳴　腸鳴　1669　鍼灸枢要　山本玄通_ページ_10.jpg")</f>
        <v>ふ/ふく　腹　腹痛　腹水鳴　腸鳴　1669　鍼灸枢要　山本玄通_ページ_10.jpg</v>
      </c>
    </row>
    <row r="4903" spans="1:2" x14ac:dyDescent="0.15">
      <c r="A4903" t="s">
        <v>4876</v>
      </c>
      <c r="B4903" t="str">
        <f>HYPERLINK("ふ/ふく　腹　腹痛　腹水鳴　腸鳴　1669　鍼灸枢要　山本玄通_ページ_11.jpg")</f>
        <v>ふ/ふく　腹　腹痛　腹水鳴　腸鳴　1669　鍼灸枢要　山本玄通_ページ_11.jpg</v>
      </c>
    </row>
    <row r="4904" spans="1:2" x14ac:dyDescent="0.15">
      <c r="A4904" t="s">
        <v>4877</v>
      </c>
      <c r="B4904" t="str">
        <f>HYPERLINK("ふ/ふく　腹　腹痛　腹水鳴　腸鳴　1669　鍼灸枢要　山本玄通_ページ_12.jpg")</f>
        <v>ふ/ふく　腹　腹痛　腹水鳴　腸鳴　1669　鍼灸枢要　山本玄通_ページ_12.jpg</v>
      </c>
    </row>
    <row r="4905" spans="1:2" x14ac:dyDescent="0.15">
      <c r="A4905" t="s">
        <v>4878</v>
      </c>
      <c r="B4905" t="str">
        <f>HYPERLINK("ふ/ふく　腹中気塊　1329　扁鵲神応鍼灸玉龍経　元・王国瑞_ページ_1.jpg")</f>
        <v>ふ/ふく　腹中気塊　1329　扁鵲神応鍼灸玉龍経　元・王国瑞_ページ_1.jpg</v>
      </c>
    </row>
    <row r="4906" spans="1:2" x14ac:dyDescent="0.15">
      <c r="A4906" t="s">
        <v>4879</v>
      </c>
      <c r="B4906" t="str">
        <f>HYPERLINK("ふ/ふく　腹中気塊　1329　扁鵲神応鍼灸玉龍経　元・王国瑞_ページ_2.jpg")</f>
        <v>ふ/ふく　腹中気塊　1329　扁鵲神応鍼灸玉龍経　元・王国瑞_ページ_2.jpg</v>
      </c>
    </row>
    <row r="4907" spans="1:2" x14ac:dyDescent="0.15">
      <c r="A4907" t="s">
        <v>4880</v>
      </c>
      <c r="B4907" t="str">
        <f>HYPERLINK("ふ/ふく　腹寒熱気　1220　鍼灸資生経　王執中.jpg")</f>
        <v>ふ/ふく　腹寒熱気　1220　鍼灸資生経　王執中.jpg</v>
      </c>
    </row>
    <row r="4908" spans="1:2" x14ac:dyDescent="0.15">
      <c r="A4908" t="s">
        <v>4881</v>
      </c>
      <c r="B4908" t="str">
        <f>HYPERLINK("ふ/ふく　腹暴脹按之不下　1315　鍼経摘英集　元・杜思敬「済生抜粋方」.jpg")</f>
        <v>ふ/ふく　腹暴脹按之不下　1315　鍼経摘英集　元・杜思敬「済生抜粋方」.jpg</v>
      </c>
    </row>
    <row r="4909" spans="1:2" x14ac:dyDescent="0.15">
      <c r="A4909" t="s">
        <v>4882</v>
      </c>
      <c r="B4909" t="str">
        <f>HYPERLINK("ふ/ふく　腹有逆気上攻，心腹脹満上搶心，痛不得息，気衝腰痛不得俛仰　1315　鍼経摘英集　元・杜思敬「済生抜粋方」.jpg")</f>
        <v>ふ/ふく　腹有逆気上攻，心腹脹満上搶心，痛不得息，気衝腰痛不得俛仰　1315　鍼経摘英集　元・杜思敬「済生抜粋方」.jpg</v>
      </c>
    </row>
    <row r="4910" spans="1:2" x14ac:dyDescent="0.15">
      <c r="A4910" t="s">
        <v>4883</v>
      </c>
      <c r="B4910" t="str">
        <f>HYPERLINK("ふ/ふく　腹満　1912年（大正01）　鍼灸手引草　久木田七郎.jpg")</f>
        <v>ふ/ふく　腹満　1912年（大正01）　鍼灸手引草　久木田七郎.jpg</v>
      </c>
    </row>
    <row r="4911" spans="1:2" x14ac:dyDescent="0.15">
      <c r="A4911" t="s">
        <v>4884</v>
      </c>
      <c r="B4911" t="str">
        <f>HYPERLINK("ふ/ふく　腹満（心満脹）　1220　鍼灸資生経　王執中_ページ_1.jpg")</f>
        <v>ふ/ふく　腹満（心満脹）　1220　鍼灸資生経　王執中_ページ_1.jpg</v>
      </c>
    </row>
    <row r="4912" spans="1:2" x14ac:dyDescent="0.15">
      <c r="A4912" t="s">
        <v>4885</v>
      </c>
      <c r="B4912" t="str">
        <f>HYPERLINK("ふ/ふく　腹満（心満脹）　1220　鍼灸資生経　王執中_ページ_2.jpg")</f>
        <v>ふ/ふく　腹満（心満脹）　1220　鍼灸資生経　王執中_ページ_2.jpg</v>
      </c>
    </row>
    <row r="4913" spans="1:2" x14ac:dyDescent="0.15">
      <c r="A4913" t="s">
        <v>4886</v>
      </c>
      <c r="B4913" t="str">
        <f>HYPERLINK("ふ/ふく　腹病　0650　千金方　孫思ばく.jpg")</f>
        <v>ふ/ふく　腹病　0650　千金方　孫思ばく.jpg</v>
      </c>
    </row>
    <row r="4914" spans="1:2" x14ac:dyDescent="0.15">
      <c r="A4914" t="s">
        <v>4887</v>
      </c>
      <c r="B4914" t="str">
        <f>HYPERLINK("ふ/ふく　腹病　1574　兪穴参伍的法　秦宗巴_ページ_1.jpg")</f>
        <v>ふ/ふく　腹病　1574　兪穴参伍的法　秦宗巴_ページ_1.jpg</v>
      </c>
    </row>
    <row r="4915" spans="1:2" x14ac:dyDescent="0.15">
      <c r="A4915" t="s">
        <v>4888</v>
      </c>
      <c r="B4915" t="str">
        <f>HYPERLINK("ふ/ふく　腹病　1574　兪穴参伍的法　秦宗巴_ページ_2.jpg")</f>
        <v>ふ/ふく　腹病　1574　兪穴参伍的法　秦宗巴_ページ_2.jpg</v>
      </c>
    </row>
    <row r="4916" spans="1:2" x14ac:dyDescent="0.15">
      <c r="A4916" t="s">
        <v>4889</v>
      </c>
      <c r="B4916" t="str">
        <f>HYPERLINK("ふ/ふく　腹痛-02　1537　鍼灸聚英　明・高武.jpg")</f>
        <v>ふ/ふく　腹痛-02　1537　鍼灸聚英　明・高武.jpg</v>
      </c>
    </row>
    <row r="4917" spans="1:2" x14ac:dyDescent="0.15">
      <c r="A4917" t="s">
        <v>4890</v>
      </c>
      <c r="B4917" t="str">
        <f>HYPERLINK("ふ/ふく　腹痛　1220　鍼灸資生経　王執中_ページ_1.jpg")</f>
        <v>ふ/ふく　腹痛　1220　鍼灸資生経　王執中_ページ_1.jpg</v>
      </c>
    </row>
    <row r="4918" spans="1:2" x14ac:dyDescent="0.15">
      <c r="A4918" t="s">
        <v>4891</v>
      </c>
      <c r="B4918" t="str">
        <f>HYPERLINK("ふ/ふく　腹痛　1220　鍼灸資生経　王執中_ページ_2.jpg")</f>
        <v>ふ/ふく　腹痛　1220　鍼灸資生経　王執中_ページ_2.jpg</v>
      </c>
    </row>
    <row r="4919" spans="1:2" x14ac:dyDescent="0.15">
      <c r="A4919" t="s">
        <v>4892</v>
      </c>
      <c r="B4919" t="str">
        <f>HYPERLINK("ふ/ふく　腹痛　1329　扁鵲神応鍼灸玉龍経　元・王国瑞.jpg")</f>
        <v>ふ/ふく　腹痛　1329　扁鵲神応鍼灸玉龍経　元・王国瑞.jpg</v>
      </c>
    </row>
    <row r="4920" spans="1:2" x14ac:dyDescent="0.15">
      <c r="A4920" t="s">
        <v>4893</v>
      </c>
      <c r="B4920" t="str">
        <f>HYPERLINK("ふ/ふく　腹痛　1537　鍼灸聚英　明・高武.jpg")</f>
        <v>ふ/ふく　腹痛　1537　鍼灸聚英　明・高武.jpg</v>
      </c>
    </row>
    <row r="4921" spans="1:2" x14ac:dyDescent="0.15">
      <c r="A4921" t="s">
        <v>4894</v>
      </c>
      <c r="B4921" t="str">
        <f>HYPERLINK("ふ/ふく　腹痛　1563　鍼灸集要　曲直瀬道三.jpg")</f>
        <v>ふ/ふく　腹痛　1563　鍼灸集要　曲直瀬道三.jpg</v>
      </c>
    </row>
    <row r="4922" spans="1:2" x14ac:dyDescent="0.15">
      <c r="A4922" t="s">
        <v>4895</v>
      </c>
      <c r="B4922" t="str">
        <f>HYPERLINK("ふ/ふく　腹痛　1613　古今集鍼法　長生庵了味か_ページ_1.jpg")</f>
        <v>ふ/ふく　腹痛　1613　古今集鍼法　長生庵了味か_ページ_1.jpg</v>
      </c>
    </row>
    <row r="4923" spans="1:2" x14ac:dyDescent="0.15">
      <c r="A4923" t="s">
        <v>4896</v>
      </c>
      <c r="B4923" t="str">
        <f>HYPERLINK("ふ/ふく　腹痛　1613　古今集鍼法　長生庵了味か_ページ_2.jpg")</f>
        <v>ふ/ふく　腹痛　1613　古今集鍼法　長生庵了味か_ページ_2.jpg</v>
      </c>
    </row>
    <row r="4924" spans="1:2" x14ac:dyDescent="0.15">
      <c r="A4924" t="s">
        <v>4897</v>
      </c>
      <c r="B4924" t="str">
        <f>HYPERLINK("ふ/ふく　腹痛　1679　鍼法奇貨　渡辺東伯_ページ_1.jpg")</f>
        <v>ふ/ふく　腹痛　1679　鍼法奇貨　渡辺東伯_ページ_1.jpg</v>
      </c>
    </row>
    <row r="4925" spans="1:2" x14ac:dyDescent="0.15">
      <c r="A4925" t="s">
        <v>4898</v>
      </c>
      <c r="B4925" t="str">
        <f>HYPERLINK("ふ/ふく　腹痛　1679　鍼法奇貨　渡辺東伯_ページ_2.jpg")</f>
        <v>ふ/ふく　腹痛　1679　鍼法奇貨　渡辺東伯_ページ_2.jpg</v>
      </c>
    </row>
    <row r="4926" spans="1:2" x14ac:dyDescent="0.15">
      <c r="A4926" t="s">
        <v>4899</v>
      </c>
      <c r="B4926" t="str">
        <f>HYPERLINK("ふ/ふく　腹痛　1679　鍼法奇貨　渡辺東伯_ページ_3.jpg")</f>
        <v>ふ/ふく　腹痛　1679　鍼法奇貨　渡辺東伯_ページ_3.jpg</v>
      </c>
    </row>
    <row r="4927" spans="1:2" x14ac:dyDescent="0.15">
      <c r="A4927" t="s">
        <v>4900</v>
      </c>
      <c r="B4927" t="str">
        <f>HYPERLINK("ふ/ふく　腹痛　1679　鍼法奇貨　渡辺東伯_ページ_4.jpg")</f>
        <v>ふ/ふく　腹痛　1679　鍼法奇貨　渡辺東伯_ページ_4.jpg</v>
      </c>
    </row>
    <row r="4928" spans="1:2" x14ac:dyDescent="0.15">
      <c r="A4928" t="s">
        <v>4901</v>
      </c>
      <c r="B4928" t="str">
        <f>HYPERLINK("ふ/ふく　腹痛　1679　鍼法奇貨　渡辺東伯_ページ_5.jpg")</f>
        <v>ふ/ふく　腹痛　1679　鍼法奇貨　渡辺東伯_ページ_5.jpg</v>
      </c>
    </row>
    <row r="4929" spans="1:2" x14ac:dyDescent="0.15">
      <c r="A4929" t="s">
        <v>4902</v>
      </c>
      <c r="B4929" t="str">
        <f>HYPERLINK("ふ/ふく　腹痛　1679　鍼法奇貨　渡辺東伯_ページ_6.jpg")</f>
        <v>ふ/ふく　腹痛　1679　鍼法奇貨　渡辺東伯_ページ_6.jpg</v>
      </c>
    </row>
    <row r="4930" spans="1:2" x14ac:dyDescent="0.15">
      <c r="A4930" t="s">
        <v>4903</v>
      </c>
      <c r="B4930" t="str">
        <f>HYPERLINK("ふ/ふく　腹痛　1679　鍼法奇貨　渡辺東伯_ページ_7.jpg")</f>
        <v>ふ/ふく　腹痛　1679　鍼法奇貨　渡辺東伯_ページ_7.jpg</v>
      </c>
    </row>
    <row r="4931" spans="1:2" x14ac:dyDescent="0.15">
      <c r="A4931" t="s">
        <v>4904</v>
      </c>
      <c r="B4931" t="str">
        <f>HYPERLINK("ふ/ふく　腹痛　1679　鍼法奇貨　渡辺東伯_ページ_8.jpg")</f>
        <v>ふ/ふく　腹痛　1679　鍼法奇貨　渡辺東伯_ページ_8.jpg</v>
      </c>
    </row>
    <row r="4932" spans="1:2" x14ac:dyDescent="0.15">
      <c r="A4932" t="s">
        <v>4905</v>
      </c>
      <c r="B4932" t="str">
        <f>HYPERLINK("ふ/ふく　腹痛　1680　鍼灸抜萃　著者未詳.jpg")</f>
        <v>ふ/ふく　腹痛　1680　鍼灸抜萃　著者未詳.jpg</v>
      </c>
    </row>
    <row r="4933" spans="1:2" x14ac:dyDescent="0.15">
      <c r="A4933" t="s">
        <v>4906</v>
      </c>
      <c r="B4933" t="str">
        <f>HYPERLINK("ふ/ふく　腹痛　1686　鍼灸要法指南　岩田利斎_ページ_1.jpg")</f>
        <v>ふ/ふく　腹痛　1686　鍼灸要法指南　岩田利斎_ページ_1.jpg</v>
      </c>
    </row>
    <row r="4934" spans="1:2" x14ac:dyDescent="0.15">
      <c r="A4934" t="s">
        <v>4907</v>
      </c>
      <c r="B4934" t="str">
        <f>HYPERLINK("ふ/ふく　腹痛　1686　鍼灸要法指南　岩田利斎_ページ_2.jpg")</f>
        <v>ふ/ふく　腹痛　1686　鍼灸要法指南　岩田利斎_ページ_2.jpg</v>
      </c>
    </row>
    <row r="4935" spans="1:2" x14ac:dyDescent="0.15">
      <c r="A4935" t="s">
        <v>4908</v>
      </c>
      <c r="B4935" t="str">
        <f>HYPERLINK("ふ/ふく　腹痛　1693　鍼灸要歌集　安井昌玄_ページ_1.jpg")</f>
        <v>ふ/ふく　腹痛　1693　鍼灸要歌集　安井昌玄_ページ_1.jpg</v>
      </c>
    </row>
    <row r="4936" spans="1:2" x14ac:dyDescent="0.15">
      <c r="A4936" t="s">
        <v>4909</v>
      </c>
      <c r="B4936" t="str">
        <f>HYPERLINK("ふ/ふく　腹痛　1693　鍼灸要歌集　安井昌玄_ページ_2.jpg")</f>
        <v>ふ/ふく　腹痛　1693　鍼灸要歌集　安井昌玄_ページ_2.jpg</v>
      </c>
    </row>
    <row r="4937" spans="1:2" x14ac:dyDescent="0.15">
      <c r="A4937" t="s">
        <v>4910</v>
      </c>
      <c r="B4937" t="str">
        <f>HYPERLINK("ふ/ふく　腹痛　1693　鍼灸要歌集　安井昌玄_ページ_3.jpg")</f>
        <v>ふ/ふく　腹痛　1693　鍼灸要歌集　安井昌玄_ページ_3.jpg</v>
      </c>
    </row>
    <row r="4938" spans="1:2" x14ac:dyDescent="0.15">
      <c r="A4938" t="s">
        <v>4911</v>
      </c>
      <c r="B4938" t="str">
        <f>HYPERLINK("ふ/ふく　腹痛　1694　腹のいたむ事　療治之大概集　杉山和一.jpg")</f>
        <v>ふ/ふく　腹痛　1694　腹のいたむ事　療治之大概集　杉山和一.jpg</v>
      </c>
    </row>
    <row r="4939" spans="1:2" x14ac:dyDescent="0.15">
      <c r="A4939" t="s">
        <v>4912</v>
      </c>
      <c r="B4939" t="str">
        <f>HYPERLINK("ふ/ふく　腹痛　1694　鍼灸そかい集　高津敬節.jpg")</f>
        <v>ふ/ふく　腹痛　1694　鍼灸そかい集　高津敬節.jpg</v>
      </c>
    </row>
    <row r="4940" spans="1:2" x14ac:dyDescent="0.15">
      <c r="A4940" t="s">
        <v>4913</v>
      </c>
      <c r="B4940" t="str">
        <f>HYPERLINK("ふ/ふく　腹痛　1696　広益鍼灸抜萃　著者未詳_ページ_1.jpg")</f>
        <v>ふ/ふく　腹痛　1696　広益鍼灸抜萃　著者未詳_ページ_1.jpg</v>
      </c>
    </row>
    <row r="4941" spans="1:2" x14ac:dyDescent="0.15">
      <c r="A4941" t="s">
        <v>4914</v>
      </c>
      <c r="B4941" t="str">
        <f>HYPERLINK("ふ/ふく　腹痛　1696　広益鍼灸抜萃　著者未詳_ページ_2.jpg")</f>
        <v>ふ/ふく　腹痛　1696　広益鍼灸抜萃　著者未詳_ページ_2.jpg</v>
      </c>
    </row>
    <row r="4942" spans="1:2" x14ac:dyDescent="0.15">
      <c r="A4942" t="s">
        <v>4915</v>
      </c>
      <c r="B4942" t="str">
        <f>HYPERLINK("ふ/ふく　腹痛　1696　広益鍼灸抜萃　著者未詳_ページ_3.jpg")</f>
        <v>ふ/ふく　腹痛　1696　広益鍼灸抜萃　著者未詳_ページ_3.jpg</v>
      </c>
    </row>
    <row r="4943" spans="1:2" x14ac:dyDescent="0.15">
      <c r="A4943" t="s">
        <v>4916</v>
      </c>
      <c r="B4943" t="str">
        <f>HYPERLINK("ふ/ふく　腹痛　1698　鍼灸抜粋大成　岡本一抱.jpg")</f>
        <v>ふ/ふく　腹痛　1698　鍼灸抜粋大成　岡本一抱.jpg</v>
      </c>
    </row>
    <row r="4944" spans="1:2" x14ac:dyDescent="0.15">
      <c r="A4944" t="s">
        <v>4917</v>
      </c>
      <c r="B4944" t="str">
        <f>HYPERLINK("ふ/ふく　腹痛　1718　はらのいたみ　鍼灸重宝記　本郷正豊.jpg")</f>
        <v>ふ/ふく　腹痛　1718　はらのいたみ　鍼灸重宝記　本郷正豊.jpg</v>
      </c>
    </row>
    <row r="4945" spans="1:2" x14ac:dyDescent="0.15">
      <c r="A4945" t="s">
        <v>4918</v>
      </c>
      <c r="B4945" t="str">
        <f>HYPERLINK("ふ/ふく　腹痛　1767　鍼灸則　菅沼周桂_ページ_1.jpg")</f>
        <v>ふ/ふく　腹痛　1767　鍼灸則　菅沼周桂_ページ_1.jpg</v>
      </c>
    </row>
    <row r="4946" spans="1:2" x14ac:dyDescent="0.15">
      <c r="A4946" t="s">
        <v>4919</v>
      </c>
      <c r="B4946" t="str">
        <f>HYPERLINK("ふ/ふく　腹痛　1767　鍼灸則　菅沼周桂_ページ_2.jpg")</f>
        <v>ふ/ふく　腹痛　1767　鍼灸則　菅沼周桂_ページ_2.jpg</v>
      </c>
    </row>
    <row r="4947" spans="1:2" x14ac:dyDescent="0.15">
      <c r="A4947" t="s">
        <v>4920</v>
      </c>
      <c r="B4947" t="str">
        <f>HYPERLINK("ふ/ふく　腹痛　1767　（小児）　鍼灸則　菅沼周桂_ページ_1.jpg")</f>
        <v>ふ/ふく　腹痛　1767　（小児）　鍼灸則　菅沼周桂_ページ_1.jpg</v>
      </c>
    </row>
    <row r="4948" spans="1:2" x14ac:dyDescent="0.15">
      <c r="A4948" t="s">
        <v>4921</v>
      </c>
      <c r="B4948" t="str">
        <f>HYPERLINK("ふ/ふく　腹痛　1767　（小児）　鍼灸則　菅沼周桂_ページ_2.jpg")</f>
        <v>ふ/ふく　腹痛　1767　（小児）　鍼灸則　菅沼周桂_ページ_2.jpg</v>
      </c>
    </row>
    <row r="4949" spans="1:2" x14ac:dyDescent="0.15">
      <c r="A4949" t="s">
        <v>4922</v>
      </c>
      <c r="B4949" t="str">
        <f>HYPERLINK("ふ/ふく　腹痛　1773　鍼灸手引草　大簡室主人_ページ_1.jpg")</f>
        <v>ふ/ふく　腹痛　1773　鍼灸手引草　大簡室主人_ページ_1.jpg</v>
      </c>
    </row>
    <row r="4950" spans="1:2" x14ac:dyDescent="0.15">
      <c r="A4950" t="s">
        <v>4923</v>
      </c>
      <c r="B4950" t="str">
        <f>HYPERLINK("ふ/ふく　腹痛　1773　鍼灸手引草　大簡室主人_ページ_2.jpg")</f>
        <v>ふ/ふく　腹痛　1773　鍼灸手引草　大簡室主人_ページ_2.jpg</v>
      </c>
    </row>
    <row r="4951" spans="1:2" x14ac:dyDescent="0.15">
      <c r="A4951" t="s">
        <v>4924</v>
      </c>
      <c r="B4951" t="str">
        <f>HYPERLINK("ふ/ふく　腹痛　1773　鍼灸手引草　大簡室主人_ページ_3.jpg")</f>
        <v>ふ/ふく　腹痛　1773　鍼灸手引草　大簡室主人_ページ_3.jpg</v>
      </c>
    </row>
    <row r="4952" spans="1:2" x14ac:dyDescent="0.15">
      <c r="A4952" t="s">
        <v>4925</v>
      </c>
      <c r="B4952" t="str">
        <f>HYPERLINK("ふ/ふく　腹痛　1780　はらのいたみ　鍼灸極秘伝　木村太沖.jpg")</f>
        <v>ふ/ふく　腹痛　1780　はらのいたみ　鍼灸極秘伝　木村太沖.jpg</v>
      </c>
    </row>
    <row r="4953" spans="1:2" x14ac:dyDescent="0.15">
      <c r="A4953" t="s">
        <v>4926</v>
      </c>
      <c r="B4953" t="str">
        <f>HYPERLINK("ふ/ふく　腹痛　1785　鍼書　本城義軒.jpg")</f>
        <v>ふ/ふく　腹痛　1785　鍼書　本城義軒.jpg</v>
      </c>
    </row>
    <row r="4954" spans="1:2" x14ac:dyDescent="0.15">
      <c r="A4954" t="s">
        <v>4927</v>
      </c>
      <c r="B4954" t="str">
        <f>HYPERLINK("ふ/ふく　腹痛　1792　鍼法要集　源長起_ページ_1.jpg")</f>
        <v>ふ/ふく　腹痛　1792　鍼法要集　源長起_ページ_1.jpg</v>
      </c>
    </row>
    <row r="4955" spans="1:2" x14ac:dyDescent="0.15">
      <c r="A4955" t="s">
        <v>4928</v>
      </c>
      <c r="B4955" t="str">
        <f>HYPERLINK("ふ/ふく　腹痛　1792　鍼法要集　源長起_ページ_2.jpg")</f>
        <v>ふ/ふく　腹痛　1792　鍼法要集　源長起_ページ_2.jpg</v>
      </c>
    </row>
    <row r="4956" spans="1:2" x14ac:dyDescent="0.15">
      <c r="A4956" t="s">
        <v>4929</v>
      </c>
      <c r="B4956" t="str">
        <f>HYPERLINK("ふ/ふく　腹痛　1792　鍼法要集　源長起_ページ_3.jpg")</f>
        <v>ふ/ふく　腹痛　1792　鍼法要集　源長起_ページ_3.jpg</v>
      </c>
    </row>
    <row r="4957" spans="1:2" x14ac:dyDescent="0.15">
      <c r="A4957" t="s">
        <v>4930</v>
      </c>
      <c r="B4957" t="str">
        <f>HYPERLINK("ふ/ふく　腹痛　1792　鍼法要集　源長起_ページ_4.jpg")</f>
        <v>ふ/ふく　腹痛　1792　鍼法要集　源長起_ページ_4.jpg</v>
      </c>
    </row>
    <row r="4958" spans="1:2" x14ac:dyDescent="0.15">
      <c r="A4958" t="s">
        <v>4931</v>
      </c>
      <c r="B4958" t="str">
        <f>HYPERLINK("ふ/ふく　腹痛　1794　杉山流鍼術　島浦和田一.jpg")</f>
        <v>ふ/ふく　腹痛　1794　杉山流鍼術　島浦和田一.jpg</v>
      </c>
    </row>
    <row r="4959" spans="1:2" x14ac:dyDescent="0.15">
      <c r="A4959" t="s">
        <v>4932</v>
      </c>
      <c r="B4959" t="str">
        <f>HYPERLINK("ふ/ふく　腹痛　1800　鍼灸備要　小坂元祐_ページ_1.jpg")</f>
        <v>ふ/ふく　腹痛　1800　鍼灸備要　小坂元祐_ページ_1.jpg</v>
      </c>
    </row>
    <row r="4960" spans="1:2" x14ac:dyDescent="0.15">
      <c r="A4960" t="s">
        <v>4933</v>
      </c>
      <c r="B4960" t="str">
        <f>HYPERLINK("ふ/ふく　腹痛　1800　鍼灸備要　小坂元祐_ページ_2.jpg")</f>
        <v>ふ/ふく　腹痛　1800　鍼灸備要　小坂元祐_ページ_2.jpg</v>
      </c>
    </row>
    <row r="4961" spans="1:2" x14ac:dyDescent="0.15">
      <c r="A4961" t="s">
        <v>4934</v>
      </c>
      <c r="B4961" t="str">
        <f>HYPERLINK("ふ/ふく　腹痛　1800　鍼灸備要　小坂元祐_ページ_3.jpg")</f>
        <v>ふ/ふく　腹痛　1800　鍼灸備要　小坂元祐_ページ_3.jpg</v>
      </c>
    </row>
    <row r="4962" spans="1:2" x14ac:dyDescent="0.15">
      <c r="A4962" t="s">
        <v>4935</v>
      </c>
      <c r="B4962" t="str">
        <f>HYPERLINK("ふ/ふく　腹痛　1800　鍼灸備要　小坂元祐_ページ_4.jpg")</f>
        <v>ふ/ふく　腹痛　1800　鍼灸備要　小坂元祐_ページ_4.jpg</v>
      </c>
    </row>
    <row r="4963" spans="1:2" x14ac:dyDescent="0.15">
      <c r="A4963" t="s">
        <v>4936</v>
      </c>
      <c r="B4963" t="str">
        <f>HYPERLINK("ふ/ふく　腹痛　1813　名家灸選　浅井惟亨_ページ_1.jpg")</f>
        <v>ふ/ふく　腹痛　1813　名家灸選　浅井惟亨_ページ_1.jpg</v>
      </c>
    </row>
    <row r="4964" spans="1:2" x14ac:dyDescent="0.15">
      <c r="A4964" t="s">
        <v>4937</v>
      </c>
      <c r="B4964" t="str">
        <f>HYPERLINK("ふ/ふく　腹痛　1813　名家灸選　浅井惟亨_ページ_2.jpg")</f>
        <v>ふ/ふく　腹痛　1813　名家灸選　浅井惟亨_ページ_2.jpg</v>
      </c>
    </row>
    <row r="4965" spans="1:2" x14ac:dyDescent="0.15">
      <c r="A4965" t="s">
        <v>4938</v>
      </c>
      <c r="B4965" t="str">
        <f>HYPERLINK("ふ/ふく　腹痛　1912年（大正01）　鍼灸手引草　久木田七郎.jpg")</f>
        <v>ふ/ふく　腹痛　1912年（大正01）　鍼灸手引草　久木田七郎.jpg</v>
      </c>
    </row>
    <row r="4966" spans="1:2" x14ac:dyDescent="0.15">
      <c r="A4966" t="s">
        <v>4939</v>
      </c>
      <c r="B4966" t="str">
        <f>HYPERLINK("ふ/ふく　腹痛　成書年未詳　灸穴集　著者未詳_ページ_1.jpg")</f>
        <v>ふ/ふく　腹痛　成書年未詳　灸穴集　著者未詳_ページ_1.jpg</v>
      </c>
    </row>
    <row r="4967" spans="1:2" x14ac:dyDescent="0.15">
      <c r="A4967" t="s">
        <v>4940</v>
      </c>
      <c r="B4967" t="str">
        <f>HYPERLINK("ふ/ふく　腹痛　成書年未詳　灸穴集　著者未詳_ページ_2.jpg")</f>
        <v>ふ/ふく　腹痛　成書年未詳　灸穴集　著者未詳_ページ_2.jpg</v>
      </c>
    </row>
    <row r="4968" spans="1:2" x14ac:dyDescent="0.15">
      <c r="A4968" t="s">
        <v>4941</v>
      </c>
      <c r="B4968" t="str">
        <f>HYPERLINK("ふ/ふく　腹痛　成書年未詳　灸穴集　著者未詳_ページ_3.jpg")</f>
        <v>ふ/ふく　腹痛　成書年未詳　灸穴集　著者未詳_ページ_3.jpg</v>
      </c>
    </row>
    <row r="4969" spans="1:2" x14ac:dyDescent="0.15">
      <c r="A4969" t="s">
        <v>4942</v>
      </c>
      <c r="B4969" t="str">
        <f>HYPERLINK("ふ/ふく　腹脹　1220　鍼灸資生経　王執中_ページ_1.jpg")</f>
        <v>ふ/ふく　腹脹　1220　鍼灸資生経　王執中_ページ_1.jpg</v>
      </c>
    </row>
    <row r="4970" spans="1:2" x14ac:dyDescent="0.15">
      <c r="A4970" t="s">
        <v>4943</v>
      </c>
      <c r="B4970" t="str">
        <f>HYPERLINK("ふ/ふく　腹脹　1220　鍼灸資生経　王執中_ページ_2.jpg")</f>
        <v>ふ/ふく　腹脹　1220　鍼灸資生経　王執中_ページ_2.jpg</v>
      </c>
    </row>
    <row r="4971" spans="1:2" x14ac:dyDescent="0.15">
      <c r="A4971" t="s">
        <v>4944</v>
      </c>
      <c r="B4971" t="str">
        <f>HYPERLINK("ふ/ふく　腹脹　1686　鍼灸要法指南　岩田利斎_ページ_1.jpg")</f>
        <v>ふ/ふく　腹脹　1686　鍼灸要法指南　岩田利斎_ページ_1.jpg</v>
      </c>
    </row>
    <row r="4972" spans="1:2" x14ac:dyDescent="0.15">
      <c r="A4972" t="s">
        <v>4945</v>
      </c>
      <c r="B4972" t="str">
        <f>HYPERLINK("ふ/ふく　腹脹　1686　鍼灸要法指南　岩田利斎_ページ_2.jpg")</f>
        <v>ふ/ふく　腹脹　1686　鍼灸要法指南　岩田利斎_ページ_2.jpg</v>
      </c>
    </row>
    <row r="4973" spans="1:2" x14ac:dyDescent="0.15">
      <c r="A4973" t="s">
        <v>4946</v>
      </c>
      <c r="B4973" t="str">
        <f>HYPERLINK("ふ/ふく　腹脹　1693　鍼灸要歌集　安井昌玄_ページ_1.jpg")</f>
        <v>ふ/ふく　腹脹　1693　鍼灸要歌集　安井昌玄_ページ_1.jpg</v>
      </c>
    </row>
    <row r="4974" spans="1:2" x14ac:dyDescent="0.15">
      <c r="A4974" t="s">
        <v>4947</v>
      </c>
      <c r="B4974" t="str">
        <f>HYPERLINK("ふ/ふく　腹脹　1693　鍼灸要歌集　安井昌玄_ページ_2.jpg")</f>
        <v>ふ/ふく　腹脹　1693　鍼灸要歌集　安井昌玄_ページ_2.jpg</v>
      </c>
    </row>
    <row r="4975" spans="1:2" x14ac:dyDescent="0.15">
      <c r="A4975" t="s">
        <v>4948</v>
      </c>
      <c r="B4975" t="str">
        <f>HYPERLINK("ふ/ふく　腹脹　1694　選鍼三要集　杉山和一.jpg")</f>
        <v>ふ/ふく　腹脹　1694　選鍼三要集　杉山和一.jpg</v>
      </c>
    </row>
    <row r="4976" spans="1:2" x14ac:dyDescent="0.15">
      <c r="A4976" t="s">
        <v>4949</v>
      </c>
      <c r="B4976" t="str">
        <f>HYPERLINK("ふ/ふく　腹脹　1767　（小児）　鍼灸則　菅沼周桂.jpg")</f>
        <v>ふ/ふく　腹脹　1767　（小児）　鍼灸則　菅沼周桂.jpg</v>
      </c>
    </row>
    <row r="4977" spans="1:2" x14ac:dyDescent="0.15">
      <c r="A4977" t="s">
        <v>4950</v>
      </c>
      <c r="B4977" t="str">
        <f>HYPERLINK("ふ/ふく　腹脹満腸中鳴短気　●脾胃大腸受病発腹脹満腸中鳴短気　第七　0300　鍼灸甲乙経　皇甫謐_ページ_1.jpg")</f>
        <v>ふ/ふく　腹脹満腸中鳴短気　●脾胃大腸受病発腹脹満腸中鳴短気　第七　0300　鍼灸甲乙経　皇甫謐_ページ_1.jpg</v>
      </c>
    </row>
    <row r="4978" spans="1:2" x14ac:dyDescent="0.15">
      <c r="A4978" t="s">
        <v>4951</v>
      </c>
      <c r="B4978" t="str">
        <f>HYPERLINK("ふ/ふく　腹脹満腸中鳴短気　●脾胃大腸受病発腹脹満腸中鳴短気　第七　0300　鍼灸甲乙経　皇甫謐_ページ_2.jpg")</f>
        <v>ふ/ふく　腹脹満腸中鳴短気　●脾胃大腸受病発腹脹満腸中鳴短気　第七　0300　鍼灸甲乙経　皇甫謐_ページ_2.jpg</v>
      </c>
    </row>
    <row r="4979" spans="1:2" x14ac:dyDescent="0.15">
      <c r="A4979" t="s">
        <v>4952</v>
      </c>
      <c r="B4979" t="str">
        <f>HYPERLINK("ふ/ふく　腹脹満腸中鳴短気　●脾胃大腸受病発腹脹満腸中鳴短気　第七　0300　鍼灸甲乙経　皇甫謐_ページ_3.jpg")</f>
        <v>ふ/ふく　腹脹満腸中鳴短気　●脾胃大腸受病発腹脹満腸中鳴短気　第七　0300　鍼灸甲乙経　皇甫謐_ページ_3.jpg</v>
      </c>
    </row>
    <row r="4980" spans="1:2" x14ac:dyDescent="0.15">
      <c r="A4980" t="s">
        <v>4953</v>
      </c>
      <c r="B4980" t="str">
        <f>HYPERLINK("ふ/ふく　腹脹硬あるいは小腹堅　ふかみがたく、おしてはらはりたる人　1780　鍼灸極秘伝　木村太沖.jpg")</f>
        <v>ふ/ふく　腹脹硬あるいは小腹堅　ふかみがたく、おしてはらはりたる人　1780　鍼灸極秘伝　木村太沖.jpg</v>
      </c>
    </row>
    <row r="4981" spans="1:2" x14ac:dyDescent="0.15">
      <c r="A4981" t="s">
        <v>4954</v>
      </c>
      <c r="B4981" t="str">
        <f>HYPERLINK("ふ/ふく　腹部脹満部　1425　神応経　明・陳会撰・劉瑾重校_ページ_1.jpg")</f>
        <v>ふ/ふく　腹部脹満部　1425　神応経　明・陳会撰・劉瑾重校_ページ_1.jpg</v>
      </c>
    </row>
    <row r="4982" spans="1:2" x14ac:dyDescent="0.15">
      <c r="A4982" t="s">
        <v>4955</v>
      </c>
      <c r="B4982" t="str">
        <f>HYPERLINK("ふ/ふく　腹部脹満部　1425　神応経　明・陳会撰・劉瑾重校_ページ_2.jpg")</f>
        <v>ふ/ふく　腹部脹満部　1425　神応経　明・陳会撰・劉瑾重校_ページ_2.jpg</v>
      </c>
    </row>
    <row r="4983" spans="1:2" x14ac:dyDescent="0.15">
      <c r="A4983" t="s">
        <v>4956</v>
      </c>
      <c r="B4983" t="str">
        <f>HYPERLINK("ふ/ふく　腹部脹満部　1425　神応経　明・陳会撰・劉瑾重校_ページ_3.jpg")</f>
        <v>ふ/ふく　腹部脹満部　1425　神応経　明・陳会撰・劉瑾重校_ページ_3.jpg</v>
      </c>
    </row>
    <row r="4984" spans="1:2" x14ac:dyDescent="0.15">
      <c r="A4984" t="s">
        <v>4957</v>
      </c>
      <c r="B4984" t="str">
        <f>HYPERLINK("ふ/ふぐ　河豚毒　ふぐのどくにあたる　1780　鍼灸極秘伝　木村太沖.jpg")</f>
        <v>ふ/ふぐ　河豚毒　ふぐのどくにあたる　1780　鍼灸極秘伝　木村太沖.jpg</v>
      </c>
    </row>
    <row r="4985" spans="1:2" x14ac:dyDescent="0.15">
      <c r="A4985" t="s">
        <v>4958</v>
      </c>
      <c r="B4985" t="str">
        <f>HYPERLINK("ふ/ふね　舟酔　成書年未詳　灸穴集　著者未詳.jpg")</f>
        <v>ふ/ふね　舟酔　成書年未詳　灸穴集　著者未詳.jpg</v>
      </c>
    </row>
    <row r="4986" spans="1:2" x14ac:dyDescent="0.15">
      <c r="A4986" t="s">
        <v>4959</v>
      </c>
      <c r="B4986" t="str">
        <f>HYPERLINK("ふ/ふる　古血堅痛之穴　1613　古今集鍼法　長生庵了味か.jpg")</f>
        <v>ふ/ふる　古血堅痛之穴　1613　古今集鍼法　長生庵了味か.jpg</v>
      </c>
    </row>
    <row r="4987" spans="1:2" x14ac:dyDescent="0.15">
      <c r="A4987" t="s">
        <v>4960</v>
      </c>
      <c r="B4987" t="str">
        <f>HYPERLINK("ぶ/ぶく　伏梁息賁肥気痞気奔豚　●経絡受病人腸胃五臓積発伏梁息賁肥気痞気奔豚　第二　0300　鍼灸甲乙経　皇甫謐_ページ_1.jpg")</f>
        <v>ぶ/ぶく　伏梁息賁肥気痞気奔豚　●経絡受病人腸胃五臓積発伏梁息賁肥気痞気奔豚　第二　0300　鍼灸甲乙経　皇甫謐_ページ_1.jpg</v>
      </c>
    </row>
    <row r="4988" spans="1:2" x14ac:dyDescent="0.15">
      <c r="A4988" t="s">
        <v>4961</v>
      </c>
      <c r="B4988" t="str">
        <f>HYPERLINK("ぶ/ぶく　伏梁息賁肥気痞気奔豚　●経絡受病人腸胃五臓積発伏梁息賁肥気痞気奔豚　第二　0300　鍼灸甲乙経　皇甫謐_ページ_2.jpg")</f>
        <v>ぶ/ぶく　伏梁息賁肥気痞気奔豚　●経絡受病人腸胃五臓積発伏梁息賁肥気痞気奔豚　第二　0300　鍼灸甲乙経　皇甫謐_ページ_2.jpg</v>
      </c>
    </row>
    <row r="4989" spans="1:2" x14ac:dyDescent="0.15">
      <c r="A4989" t="s">
        <v>4962</v>
      </c>
      <c r="B4989" t="str">
        <f>HYPERLINK("ぶ/ぶく　伏梁息賁肥気痞気奔豚　●経絡受病人腸胃五臓積発伏梁息賁肥気痞気奔豚　第二　0300　鍼灸甲乙経　皇甫謐_ページ_3.jpg")</f>
        <v>ぶ/ぶく　伏梁息賁肥気痞気奔豚　●経絡受病人腸胃五臓積発伏梁息賁肥気痞気奔豚　第二　0300　鍼灸甲乙経　皇甫謐_ページ_3.jpg</v>
      </c>
    </row>
    <row r="4990" spans="1:2" x14ac:dyDescent="0.15">
      <c r="A4990" t="s">
        <v>4963</v>
      </c>
      <c r="B4990" t="str">
        <f>HYPERLINK("ぶ/ぶく　伏梁息賁肥気痞気奔豚　●経絡受病人腸胃五臓積発伏梁息賁肥気痞気奔豚　第二　0300　鍼灸甲乙経　皇甫謐_ページ_4.jpg")</f>
        <v>ぶ/ぶく　伏梁息賁肥気痞気奔豚　●経絡受病人腸胃五臓積発伏梁息賁肥気痞気奔豚　第二　0300　鍼灸甲乙経　皇甫謐_ページ_4.jpg</v>
      </c>
    </row>
    <row r="4991" spans="1:2" x14ac:dyDescent="0.15">
      <c r="A4991" t="s">
        <v>4964</v>
      </c>
      <c r="B4991" t="str">
        <f>HYPERLINK("ぶ/ぶく　伏梁息賁肥気痞気奔豚　●経絡受病人腸胃五臓積発伏梁息賁肥気痞気奔豚　第二　0300　鍼灸甲乙経　皇甫謐_ページ_5.jpg")</f>
        <v>ぶ/ぶく　伏梁息賁肥気痞気奔豚　●経絡受病人腸胃五臓積発伏梁息賁肥気痞気奔豚　第二　0300　鍼灸甲乙経　皇甫謐_ページ_5.jpg</v>
      </c>
    </row>
    <row r="4992" spans="1:2" x14ac:dyDescent="0.15">
      <c r="A4992" t="s">
        <v>4965</v>
      </c>
      <c r="B4992" t="str">
        <f>HYPERLINK("ぶ/ぶく　伏梁息賁肥気痞気奔豚　●経絡受病人腸胃五臓積発伏梁息賁肥気痞気奔豚　第二　0300　鍼灸甲乙経　皇甫謐_ページ_6.jpg")</f>
        <v>ぶ/ぶく　伏梁息賁肥気痞気奔豚　●経絡受病人腸胃五臓積発伏梁息賁肥気痞気奔豚　第二　0300　鍼灸甲乙経　皇甫謐_ページ_6.jpg</v>
      </c>
    </row>
    <row r="4993" spans="1:2" x14ac:dyDescent="0.15">
      <c r="A4993" t="s">
        <v>4966</v>
      </c>
      <c r="B4993" t="str">
        <f>HYPERLINK("へ/へき　癖疾　1669　（小児）　鍼灸枢要　山本玄通_ページ_1.jpg")</f>
        <v>へ/へき　癖疾　1669　（小児）　鍼灸枢要　山本玄通_ページ_1.jpg</v>
      </c>
    </row>
    <row r="4994" spans="1:2" x14ac:dyDescent="0.15">
      <c r="A4994" t="s">
        <v>4967</v>
      </c>
      <c r="B4994" t="str">
        <f>HYPERLINK("へ/へき　癖疾　1669　（小児）　鍼灸枢要　山本玄通_ページ_2.jpg")</f>
        <v>へ/へき　癖疾　1669　（小児）　鍼灸枢要　山本玄通_ページ_2.jpg</v>
      </c>
    </row>
    <row r="4995" spans="1:2" x14ac:dyDescent="0.15">
      <c r="A4995" t="s">
        <v>4968</v>
      </c>
      <c r="B4995" t="str">
        <f>HYPERLINK("へ/へき　癖疾　1686　かたかい　鍼灸要法指南　岩田利斎.jpg")</f>
        <v>へ/へき　癖疾　1686　かたかい　鍼灸要法指南　岩田利斎.jpg</v>
      </c>
    </row>
    <row r="4996" spans="1:2" x14ac:dyDescent="0.15">
      <c r="A4996" t="s">
        <v>4969</v>
      </c>
      <c r="B4996" t="str">
        <f>HYPERLINK("へ/へき　癖疾　1693　鍼灸要歌集　安井昌玄_ページ_1.jpg")</f>
        <v>へ/へき　癖疾　1693　鍼灸要歌集　安井昌玄_ページ_1.jpg</v>
      </c>
    </row>
    <row r="4997" spans="1:2" x14ac:dyDescent="0.15">
      <c r="A4997" t="s">
        <v>4970</v>
      </c>
      <c r="B4997" t="str">
        <f>HYPERLINK("へ/へき　癖疾　1693　鍼灸要歌集　安井昌玄_ページ_2.jpg")</f>
        <v>へ/へき　癖疾　1693　鍼灸要歌集　安井昌玄_ページ_2.jpg</v>
      </c>
    </row>
    <row r="4998" spans="1:2" x14ac:dyDescent="0.15">
      <c r="A4998" t="s">
        <v>4971</v>
      </c>
      <c r="B4998" t="str">
        <f>HYPERLINK("へ/へき　癖疾　1694　腹脇に有る塊なり　世俗にかはらと云ひ又はかたかいとも云ふなり　療治之大概集　杉山和一.jpg")</f>
        <v>へ/へき　癖疾　1694　腹脇に有る塊なり　世俗にかはらと云ひ又はかたかいとも云ふなり　療治之大概集　杉山和一.jpg</v>
      </c>
    </row>
    <row r="4999" spans="1:2" x14ac:dyDescent="0.15">
      <c r="A4999" t="s">
        <v>4972</v>
      </c>
      <c r="B4999" t="str">
        <f>HYPERLINK("へ/へき　癖疾　1767　（小児）　鍼灸則　菅沼周桂.jpg")</f>
        <v>へ/へき　癖疾　1767　（小児）　鍼灸則　菅沼周桂.jpg</v>
      </c>
    </row>
    <row r="5000" spans="1:2" x14ac:dyDescent="0.15">
      <c r="A5000" t="s">
        <v>4973</v>
      </c>
      <c r="B5000" t="str">
        <f>HYPERLINK("へ/へき　癖疾　1800　鍼灸備要　小坂元祐_ページ_1.jpg")</f>
        <v>へ/へき　癖疾　1800　鍼灸備要　小坂元祐_ページ_1.jpg</v>
      </c>
    </row>
    <row r="5001" spans="1:2" x14ac:dyDescent="0.15">
      <c r="A5001" t="s">
        <v>4974</v>
      </c>
      <c r="B5001" t="str">
        <f>HYPERLINK("へ/へき　癖疾　1800　鍼灸備要　小坂元祐_ページ_2.jpg")</f>
        <v>へ/へき　癖疾　1800　鍼灸備要　小坂元祐_ページ_2.jpg</v>
      </c>
    </row>
    <row r="5002" spans="1:2" x14ac:dyDescent="0.15">
      <c r="A5002" t="s">
        <v>4975</v>
      </c>
      <c r="B5002" t="str">
        <f>HYPERLINK("へ/へき　癖積　1718　かたかい　鍼灸重宝記　本郷正豊_ページ_1.jpg")</f>
        <v>へ/へき　癖積　1718　かたかい　鍼灸重宝記　本郷正豊_ページ_1.jpg</v>
      </c>
    </row>
    <row r="5003" spans="1:2" x14ac:dyDescent="0.15">
      <c r="A5003" t="s">
        <v>4976</v>
      </c>
      <c r="B5003" t="str">
        <f>HYPERLINK("へ/へき　癖積　1718　かたかい　鍼灸重宝記　本郷正豊_ページ_2.jpg")</f>
        <v>へ/へき　癖積　1718　かたかい　鍼灸重宝記　本郷正豊_ページ_2.jpg</v>
      </c>
    </row>
    <row r="5004" spans="1:2" x14ac:dyDescent="0.15">
      <c r="A5004" t="s">
        <v>4977</v>
      </c>
      <c r="B5004" t="str">
        <f>HYPERLINK("へ/へき　癖積　1773　鍼灸手引草　大簡室主人.jpg")</f>
        <v>へ/へき　癖積　1773　鍼灸手引草　大簡室主人.jpg</v>
      </c>
    </row>
    <row r="5005" spans="1:2" x14ac:dyDescent="0.15">
      <c r="A5005" t="s">
        <v>4978</v>
      </c>
      <c r="B5005" t="str">
        <f>HYPERLINK("へ/へき　癖積　成書年未詳　灸穴集　著者未詳.jpg")</f>
        <v>へ/へき　癖積　成書年未詳　灸穴集　著者未詳.jpg</v>
      </c>
    </row>
    <row r="5006" spans="1:2" x14ac:dyDescent="0.15">
      <c r="A5006" t="s">
        <v>4979</v>
      </c>
      <c r="B5006" t="str">
        <f>HYPERLINK("へ/へん　偏堕気　1813　名家灸選三編　平井庸信_ページ_1.jpg")</f>
        <v>へ/へん　偏堕気　1813　名家灸選三編　平井庸信_ページ_1.jpg</v>
      </c>
    </row>
    <row r="5007" spans="1:2" x14ac:dyDescent="0.15">
      <c r="A5007" t="s">
        <v>4980</v>
      </c>
      <c r="B5007" t="str">
        <f>HYPERLINK("へ/へん　偏堕気　1813　名家灸選三編　平井庸信_ページ_2.jpg")</f>
        <v>へ/へん　偏堕気　1813　名家灸選三編　平井庸信_ページ_2.jpg</v>
      </c>
    </row>
    <row r="5008" spans="1:2" x14ac:dyDescent="0.15">
      <c r="A5008" t="s">
        <v>4981</v>
      </c>
      <c r="B5008" t="str">
        <f>HYPERLINK("へ/へん　偏枯　1765　鍼法弁惑　藤井秀孟_ページ_1.jpg")</f>
        <v>へ/へん　偏枯　1765　鍼法弁惑　藤井秀孟_ページ_1.jpg</v>
      </c>
    </row>
    <row r="5009" spans="1:2" x14ac:dyDescent="0.15">
      <c r="A5009" t="s">
        <v>4982</v>
      </c>
      <c r="B5009" t="str">
        <f>HYPERLINK("へ/へん　偏枯　1765　鍼法弁惑　藤井秀孟_ページ_2.jpg")</f>
        <v>へ/へん　偏枯　1765　鍼法弁惑　藤井秀孟_ページ_2.jpg</v>
      </c>
    </row>
    <row r="5010" spans="1:2" x14ac:dyDescent="0.15">
      <c r="A5010" t="s">
        <v>4983</v>
      </c>
      <c r="B5010" t="str">
        <f>HYPERLINK("へ/へん　偏枯（へんこ）　かたみしびれ　半身麻痺　1887（明治20）　鍼灸備要　青山道醇.jpg")</f>
        <v>へ/へん　偏枯（へんこ）　かたみしびれ　半身麻痺　1887（明治20）　鍼灸備要　青山道醇.jpg</v>
      </c>
    </row>
    <row r="5011" spans="1:2" x14ac:dyDescent="0.15">
      <c r="A5011" t="s">
        <v>4984</v>
      </c>
      <c r="B5011" t="str">
        <f>HYPERLINK("へ/へん　偏正頭痛　1315　鍼経摘英集　元・杜思敬「済生抜粋方」_ページ_1.jpg")</f>
        <v>へ/へん　偏正頭痛　1315　鍼経摘英集　元・杜思敬「済生抜粋方」_ページ_1.jpg</v>
      </c>
    </row>
    <row r="5012" spans="1:2" x14ac:dyDescent="0.15">
      <c r="A5012" t="s">
        <v>4985</v>
      </c>
      <c r="B5012" t="str">
        <f>HYPERLINK("へ/へん　偏正頭痛　1315　鍼経摘英集　元・杜思敬「済生抜粋方」_ページ_2.jpg")</f>
        <v>へ/へん　偏正頭痛　1315　鍼経摘英集　元・杜思敬「済生抜粋方」_ページ_2.jpg</v>
      </c>
    </row>
    <row r="5013" spans="1:2" x14ac:dyDescent="0.15">
      <c r="A5013" t="s">
        <v>4986</v>
      </c>
      <c r="B5013" t="str">
        <f>HYPERLINK("へ/へん　偏正頭風　1329　扁鵲神応鍼灸玉龍経　元・王国瑞.jpg")</f>
        <v>へ/へん　偏正頭風　1329　扁鵲神応鍼灸玉龍経　元・王国瑞.jpg</v>
      </c>
    </row>
    <row r="5014" spans="1:2" x14ac:dyDescent="0.15">
      <c r="A5014" t="s">
        <v>4987</v>
      </c>
      <c r="B5014" t="str">
        <f>HYPERLINK("へ/へん　偏頭痛（へんづつう）　かたづつう　偏頭神経痛　1887（明治20）　鍼灸備要　青山道醇.jpg")</f>
        <v>へ/へん　偏頭痛（へんづつう）　かたづつう　偏頭神経痛　1887（明治20）　鍼灸備要　青山道醇.jpg</v>
      </c>
    </row>
    <row r="5015" spans="1:2" x14ac:dyDescent="0.15">
      <c r="A5015" t="s">
        <v>4988</v>
      </c>
      <c r="B5015" t="str">
        <f>HYPERLINK("へ/へん　偏風（偏枯 半身不遂）　1220　鍼灸資生経　王執中_ページ_1.jpg")</f>
        <v>へ/へん　偏風（偏枯 半身不遂）　1220　鍼灸資生経　王執中_ページ_1.jpg</v>
      </c>
    </row>
    <row r="5016" spans="1:2" x14ac:dyDescent="0.15">
      <c r="A5016" t="s">
        <v>4989</v>
      </c>
      <c r="B5016" t="str">
        <f>HYPERLINK("へ/へん　偏風（偏枯 半身不遂）　1220　鍼灸資生経　王執中_ページ_2.jpg")</f>
        <v>へ/へん　偏風（偏枯 半身不遂）　1220　鍼灸資生経　王執中_ページ_2.jpg</v>
      </c>
    </row>
    <row r="5017" spans="1:2" x14ac:dyDescent="0.15">
      <c r="A5017" t="s">
        <v>4990</v>
      </c>
      <c r="B5017" t="str">
        <f>HYPERLINK("へ/へん　変蒸　1686　鍼灸要法指南　岩田利斎.jpg")</f>
        <v>へ/へん　変蒸　1686　鍼灸要法指南　岩田利斎.jpg</v>
      </c>
    </row>
    <row r="5018" spans="1:2" x14ac:dyDescent="0.15">
      <c r="A5018" t="s">
        <v>4991</v>
      </c>
      <c r="B5018" t="str">
        <f>HYPERLINK("べ/べん　便毒　1773　鍼灸手引草　大簡室主人.jpg")</f>
        <v>べ/べん　便毒　1773　鍼灸手引草　大簡室主人.jpg</v>
      </c>
    </row>
    <row r="5019" spans="1:2" x14ac:dyDescent="0.15">
      <c r="A5019" t="s">
        <v>4992</v>
      </c>
      <c r="B5019" t="str">
        <f>HYPERLINK("べ/べん　便毒　1807　続名家灸選　平井庸信.jpg")</f>
        <v>べ/べん　便毒　1807　続名家灸選　平井庸信.jpg</v>
      </c>
    </row>
    <row r="5020" spans="1:2" x14ac:dyDescent="0.15">
      <c r="A5020" t="s">
        <v>4993</v>
      </c>
      <c r="B5020" t="str">
        <f>HYPERLINK("べ/べん　便毒　1912年（大正01）　鍼灸手引草　久木田七郎.jpg")</f>
        <v>べ/べん　便毒　1912年（大正01）　鍼灸手引草　久木田七郎.jpg</v>
      </c>
    </row>
    <row r="5021" spans="1:2" x14ac:dyDescent="0.15">
      <c r="A5021" t="s">
        <v>4994</v>
      </c>
      <c r="B5021" t="str">
        <f>HYPERLINK("べ/べん　便毒　よこね　一名くわ馬癰（くわばよう）　一名血疝　1686　鍼灸要法指南　岩田利斎.jpg")</f>
        <v>べ/べん　便毒　よこね　一名くわ馬癰（くわばよう）　一名血疝　1686　鍼灸要法指南　岩田利斎.jpg</v>
      </c>
    </row>
    <row r="5022" spans="1:2" x14ac:dyDescent="0.15">
      <c r="A5022" t="s">
        <v>4995</v>
      </c>
      <c r="B5022" t="str">
        <f>HYPERLINK("べ/べん　便毒　成書年未詳　灸穴集　著者未詳.jpg")</f>
        <v>べ/べん　便毒　成書年未詳　灸穴集　著者未詳.jpg</v>
      </c>
    </row>
    <row r="5023" spans="1:2" x14ac:dyDescent="0.15">
      <c r="A5023" t="s">
        <v>4996</v>
      </c>
      <c r="B5023" t="str">
        <f>HYPERLINK("べ/べん　便毒之針穴　1613　古今集鍼法　長生庵了味か.jpg")</f>
        <v>べ/べん　便毒之針穴　1613　古今集鍼法　長生庵了味か.jpg</v>
      </c>
    </row>
    <row r="5024" spans="1:2" x14ac:dyDescent="0.15">
      <c r="A5024" t="s">
        <v>4997</v>
      </c>
      <c r="B5024" t="str">
        <f>HYPERLINK("べ/べん　便毒岐路　1758　灸ぜつ塩土伝　三宅意安_ページ_1.jpg")</f>
        <v>べ/べん　便毒岐路　1758　灸ぜつ塩土伝　三宅意安_ページ_1.jpg</v>
      </c>
    </row>
    <row r="5025" spans="1:2" x14ac:dyDescent="0.15">
      <c r="A5025" t="s">
        <v>4998</v>
      </c>
      <c r="B5025" t="str">
        <f>HYPERLINK("べ/べん　便毒岐路　1758　灸ぜつ塩土伝　三宅意安_ページ_2.jpg")</f>
        <v>べ/べん　便毒岐路　1758　灸ぜつ塩土伝　三宅意安_ページ_2.jpg</v>
      </c>
    </row>
    <row r="5026" spans="1:2" x14ac:dyDescent="0.15">
      <c r="A5026" t="s">
        <v>4999</v>
      </c>
      <c r="B5026" t="str">
        <f>HYPERLINK("べ/べん　便濁　1767　鍼灸則　菅沼周桂_ページ_1.jpg")</f>
        <v>べ/べん　便濁　1767　鍼灸則　菅沼周桂_ページ_1.jpg</v>
      </c>
    </row>
    <row r="5027" spans="1:2" x14ac:dyDescent="0.15">
      <c r="A5027" t="s">
        <v>5000</v>
      </c>
      <c r="B5027" t="str">
        <f>HYPERLINK("べ/べん　便濁　1767　鍼灸則　菅沼周桂_ページ_2.jpg")</f>
        <v>べ/べん　便濁　1767　鍼灸則　菅沼周桂_ページ_2.jpg</v>
      </c>
    </row>
    <row r="5028" spans="1:2" x14ac:dyDescent="0.15">
      <c r="A5028" t="s">
        <v>5001</v>
      </c>
      <c r="B5028" t="str">
        <f>HYPERLINK("べ/べん　便血　1220　鍼灸資生経　王執中.jpg")</f>
        <v>べ/べん　便血　1220　鍼灸資生経　王執中.jpg</v>
      </c>
    </row>
    <row r="5029" spans="1:2" x14ac:dyDescent="0.15">
      <c r="A5029" t="s">
        <v>5002</v>
      </c>
      <c r="B5029" t="str">
        <f>HYPERLINK("べ/べん　便血　1563　鍼灸集要　曲直瀬道三.jpg")</f>
        <v>べ/べん　便血　1563　鍼灸集要　曲直瀬道三.jpg</v>
      </c>
    </row>
    <row r="5030" spans="1:2" x14ac:dyDescent="0.15">
      <c r="A5030" t="s">
        <v>5003</v>
      </c>
      <c r="B5030" t="str">
        <f>HYPERLINK("べ/べん　便血　1574　兪穴参伍的法　秦宗巴.jpg")</f>
        <v>べ/べん　便血　1574　兪穴参伍的法　秦宗巴.jpg</v>
      </c>
    </row>
    <row r="5031" spans="1:2" x14ac:dyDescent="0.15">
      <c r="A5031" t="s">
        <v>5004</v>
      </c>
      <c r="B5031" t="str">
        <f>HYPERLINK("べ/べん　便血　1624　類経図翼　明・張介賓_ページ_1.jpg")</f>
        <v>べ/べん　便血　1624　類経図翼　明・張介賓_ページ_1.jpg</v>
      </c>
    </row>
    <row r="5032" spans="1:2" x14ac:dyDescent="0.15">
      <c r="A5032" t="s">
        <v>5005</v>
      </c>
      <c r="B5032" t="str">
        <f>HYPERLINK("べ/べん　便血　1624　類経図翼　明・張介賓_ページ_2.jpg")</f>
        <v>べ/べん　便血　1624　類経図翼　明・張介賓_ページ_2.jpg</v>
      </c>
    </row>
    <row r="5033" spans="1:2" x14ac:dyDescent="0.15">
      <c r="A5033" t="s">
        <v>5006</v>
      </c>
      <c r="B5033" t="str">
        <f>HYPERLINK("べ/べん　便血　1694　選鍼三要集　杉山和一.jpg")</f>
        <v>べ/べん　便血　1694　選鍼三要集　杉山和一.jpg</v>
      </c>
    </row>
    <row r="5034" spans="1:2" x14ac:dyDescent="0.15">
      <c r="A5034" t="s">
        <v>5007</v>
      </c>
      <c r="B5034" t="str">
        <f>HYPERLINK("べ/べん　便血　1767　鍼灸則　菅沼周桂.jpg")</f>
        <v>べ/べん　便血　1767　鍼灸則　菅沼周桂.jpg</v>
      </c>
    </row>
    <row r="5035" spans="1:2" x14ac:dyDescent="0.15">
      <c r="A5035" t="s">
        <v>5008</v>
      </c>
      <c r="B5035" t="str">
        <f>HYPERLINK("べ/べん　便血　げけつ　1686　鍼灸要法指南　岩田利斎.jpg")</f>
        <v>べ/べん　便血　げけつ　1686　鍼灸要法指南　岩田利斎.jpg</v>
      </c>
    </row>
    <row r="5036" spans="1:2" x14ac:dyDescent="0.15">
      <c r="A5036" t="s">
        <v>5009</v>
      </c>
      <c r="B5036" t="str">
        <f>HYPERLINK("べ/べん　便血　玉機微義針灸証治　1537　鍼灸聚英　明・高武_ページ_1.jpg")</f>
        <v>べ/べん　便血　玉機微義針灸証治　1537　鍼灸聚英　明・高武_ページ_1.jpg</v>
      </c>
    </row>
    <row r="5037" spans="1:2" x14ac:dyDescent="0.15">
      <c r="A5037" t="s">
        <v>5010</v>
      </c>
      <c r="B5037" t="str">
        <f>HYPERLINK("べ/べん　便血　玉機微義針灸証治　1537　鍼灸聚英　明・高武_ページ_2.jpg")</f>
        <v>べ/べん　便血　玉機微義針灸証治　1537　鍼灸聚英　明・高武_ページ_2.jpg</v>
      </c>
    </row>
    <row r="5038" spans="1:2" x14ac:dyDescent="0.15">
      <c r="A5038" t="s">
        <v>5011</v>
      </c>
      <c r="B5038" t="str">
        <f>HYPERLINK("べ/べん　便血　血の下る病　腸出血　1887（明治20）　鍼灸備要　青山道醇.jpg")</f>
        <v>べ/べん　便血　血の下る病　腸出血　1887（明治20）　鍼灸備要　青山道醇.jpg</v>
      </c>
    </row>
    <row r="5039" spans="1:2" x14ac:dyDescent="0.15">
      <c r="A5039" t="s">
        <v>5012</v>
      </c>
      <c r="B5039" t="str">
        <f>HYPERLINK("ほ/ほう　崩漏　1669　鍼灸枢要　山本玄通_ページ_1.jpg")</f>
        <v>ほ/ほう　崩漏　1669　鍼灸枢要　山本玄通_ページ_1.jpg</v>
      </c>
    </row>
    <row r="5040" spans="1:2" x14ac:dyDescent="0.15">
      <c r="A5040" t="s">
        <v>5013</v>
      </c>
      <c r="B5040" t="str">
        <f>HYPERLINK("ほ/ほう　崩漏　1669　鍼灸枢要　山本玄通_ページ_2.jpg")</f>
        <v>ほ/ほう　崩漏　1669　鍼灸枢要　山本玄通_ページ_2.jpg</v>
      </c>
    </row>
    <row r="5041" spans="1:2" x14ac:dyDescent="0.15">
      <c r="A5041" t="s">
        <v>5014</v>
      </c>
      <c r="B5041" t="str">
        <f>HYPERLINK("ほ/ほう　崩漏　1669　鍼灸枢要　山本玄通_ページ_3.jpg")</f>
        <v>ほ/ほう　崩漏　1669　鍼灸枢要　山本玄通_ページ_3.jpg</v>
      </c>
    </row>
    <row r="5042" spans="1:2" x14ac:dyDescent="0.15">
      <c r="A5042" t="s">
        <v>5015</v>
      </c>
      <c r="B5042" t="str">
        <f>HYPERLINK("ほ/ほう　崩漏　1800　鍼灸備要　小坂元祐_ページ_1.jpg")</f>
        <v>ほ/ほう　崩漏　1800　鍼灸備要　小坂元祐_ページ_1.jpg</v>
      </c>
    </row>
    <row r="5043" spans="1:2" x14ac:dyDescent="0.15">
      <c r="A5043" t="s">
        <v>5016</v>
      </c>
      <c r="B5043" t="str">
        <f>HYPERLINK("ほ/ほう　崩漏　1800　鍼灸備要　小坂元祐_ページ_2.jpg")</f>
        <v>ほ/ほう　崩漏　1800　鍼灸備要　小坂元祐_ページ_2.jpg</v>
      </c>
    </row>
    <row r="5044" spans="1:2" x14ac:dyDescent="0.15">
      <c r="A5044" t="s">
        <v>5017</v>
      </c>
      <c r="B5044" t="str">
        <f>HYPERLINK("ほ/ほう　崩漏帯下　1792　鍼法要集　源長起_ページ_1.jpg")</f>
        <v>ほ/ほう　崩漏帯下　1792　鍼法要集　源長起_ページ_1.jpg</v>
      </c>
    </row>
    <row r="5045" spans="1:2" x14ac:dyDescent="0.15">
      <c r="A5045" t="s">
        <v>5018</v>
      </c>
      <c r="B5045" t="str">
        <f>HYPERLINK("ほ/ほう　崩漏帯下　1792　鍼法要集　源長起_ページ_2.jpg")</f>
        <v>ほ/ほう　崩漏帯下　1792　鍼法要集　源長起_ページ_2.jpg</v>
      </c>
    </row>
    <row r="5046" spans="1:2" x14ac:dyDescent="0.15">
      <c r="A5046" t="s">
        <v>5019</v>
      </c>
      <c r="B5046" t="str">
        <f>HYPERLINK("ほ/ほう　崩漏帯下　1813　名家灸選　浅井惟亨_ページ_1.jpg")</f>
        <v>ほ/ほう　崩漏帯下　1813　名家灸選　浅井惟亨_ページ_1.jpg</v>
      </c>
    </row>
    <row r="5047" spans="1:2" x14ac:dyDescent="0.15">
      <c r="A5047" t="s">
        <v>5020</v>
      </c>
      <c r="B5047" t="str">
        <f>HYPERLINK("ほ/ほう　崩漏帯下　1813　名家灸選　浅井惟亨_ページ_2.jpg")</f>
        <v>ほ/ほう　崩漏帯下　1813　名家灸選　浅井惟亨_ページ_2.jpg</v>
      </c>
    </row>
    <row r="5048" spans="1:2" x14ac:dyDescent="0.15">
      <c r="A5048" t="s">
        <v>5021</v>
      </c>
      <c r="B5048" t="str">
        <f>HYPERLINK("ほ/ほう　崩漏（ほうろう）　ちくだれ、又、ちおり　子宮出血、又、子宮血崩　1887（明治20）　鍼灸備要　青山道醇.jpg")</f>
        <v>ほ/ほう　崩漏（ほうろう）　ちくだれ、又、ちおり　子宮出血、又、子宮血崩　1887（明治20）　鍼灸備要　青山道醇.jpg</v>
      </c>
    </row>
    <row r="5049" spans="1:2" x14ac:dyDescent="0.15">
      <c r="A5049" t="s">
        <v>5022</v>
      </c>
      <c r="B5049" t="str">
        <f>HYPERLINK("ほ/ほう　崩血　にわかに血がくだりて死せんとする人　1780　鍼灸極秘伝　木村太沖.jpg")</f>
        <v>ほ/ほう　崩血　にわかに血がくだりて死せんとする人　1780　鍼灸極秘伝　木村太沖.jpg</v>
      </c>
    </row>
    <row r="5050" spans="1:2" x14ac:dyDescent="0.15">
      <c r="A5050" t="s">
        <v>5023</v>
      </c>
      <c r="B5050" t="str">
        <f>HYPERLINK("ほ/ほう　疱瘡（ほうそう）　1686　鍼灸要法指南　岩田利斎_ページ_1.jpg")</f>
        <v>ほ/ほう　疱瘡（ほうそう）　1686　鍼灸要法指南　岩田利斎_ページ_1.jpg</v>
      </c>
    </row>
    <row r="5051" spans="1:2" x14ac:dyDescent="0.15">
      <c r="A5051" t="s">
        <v>5024</v>
      </c>
      <c r="B5051" t="str">
        <f>HYPERLINK("ほ/ほう　疱瘡（ほうそう）　1686　鍼灸要法指南　岩田利斎_ページ_2.jpg")</f>
        <v>ほ/ほう　疱瘡（ほうそう）　1686　鍼灸要法指南　岩田利斎_ページ_2.jpg</v>
      </c>
    </row>
    <row r="5052" spans="1:2" x14ac:dyDescent="0.15">
      <c r="A5052" t="s">
        <v>5025</v>
      </c>
      <c r="B5052" t="str">
        <f>HYPERLINK("ほ/ほう　胞衣不下　1693　鍼灸要歌集　安井昌玄.jpg")</f>
        <v>ほ/ほう　胞衣不下　1693　鍼灸要歌集　安井昌玄.jpg</v>
      </c>
    </row>
    <row r="5053" spans="1:2" x14ac:dyDescent="0.15">
      <c r="A5053" t="s">
        <v>5026</v>
      </c>
      <c r="B5053" t="str">
        <f>HYPERLINK("ほ/ほう　胞衣不下　1765　鍼法弁惑　藤井秀孟.jpg")</f>
        <v>ほ/ほう　胞衣不下　1765　鍼法弁惑　藤井秀孟.jpg</v>
      </c>
    </row>
    <row r="5054" spans="1:2" x14ac:dyDescent="0.15">
      <c r="A5054" t="s">
        <v>5027</v>
      </c>
      <c r="B5054" t="str">
        <f>HYPERLINK("ほ/ほう　胞衣不下　1767　鍼灸則　菅沼周桂.jpg")</f>
        <v>ほ/ほう　胞衣不下　1767　鍼灸則　菅沼周桂.jpg</v>
      </c>
    </row>
    <row r="5055" spans="1:2" x14ac:dyDescent="0.15">
      <c r="A5055" t="s">
        <v>5028</v>
      </c>
      <c r="B5055" t="str">
        <f>HYPERLINK("ほ/ほう　胞門　1794　杉山流鍼術　島浦和田一_ページ_1.jpg")</f>
        <v>ほ/ほう　胞門　1794　杉山流鍼術　島浦和田一_ページ_1.jpg</v>
      </c>
    </row>
    <row r="5056" spans="1:2" x14ac:dyDescent="0.15">
      <c r="A5056" t="s">
        <v>5029</v>
      </c>
      <c r="B5056" t="str">
        <f>HYPERLINK("ほ/ほう　胞門　1794　杉山流鍼術　島浦和田一_ページ_2.jpg")</f>
        <v>ほ/ほう　胞門　1794　杉山流鍼術　島浦和田一_ページ_2.jpg</v>
      </c>
    </row>
    <row r="5057" spans="1:2" x14ac:dyDescent="0.15">
      <c r="A5057" t="s">
        <v>5030</v>
      </c>
      <c r="B5057" t="str">
        <f>HYPERLINK("ほ/ほん　翻胃　1694　膈の事　療治之大概集　杉山和一.jpg")</f>
        <v>ほ/ほん　翻胃　1694　膈の事　療治之大概集　杉山和一.jpg</v>
      </c>
    </row>
    <row r="5058" spans="1:2" x14ac:dyDescent="0.15">
      <c r="A5058" t="s">
        <v>5031</v>
      </c>
      <c r="B5058" t="str">
        <f>HYPERLINK("ほ/ほん　翻胃　1767　鍼灸則　菅沼周桂_ページ_1.jpg")</f>
        <v>ほ/ほん　翻胃　1767　鍼灸則　菅沼周桂_ページ_1.jpg</v>
      </c>
    </row>
    <row r="5059" spans="1:2" x14ac:dyDescent="0.15">
      <c r="A5059" t="s">
        <v>5032</v>
      </c>
      <c r="B5059" t="str">
        <f>HYPERLINK("ほ/ほん　翻胃　1767　鍼灸則　菅沼周桂_ページ_2.jpg")</f>
        <v>ほ/ほん　翻胃　1767　鍼灸則　菅沼周桂_ページ_2.jpg</v>
      </c>
    </row>
    <row r="5060" spans="1:2" x14ac:dyDescent="0.15">
      <c r="A5060" t="s">
        <v>5033</v>
      </c>
      <c r="B5060" t="str">
        <f>HYPERLINK("ほ/ほん　翻胃　食物をはくやまひ　1780　鍼灸極秘伝　木村太沖.jpg")</f>
        <v>ほ/ほん　翻胃　食物をはくやまひ　1780　鍼灸極秘伝　木村太沖.jpg</v>
      </c>
    </row>
    <row r="5061" spans="1:2" x14ac:dyDescent="0.15">
      <c r="A5061" t="s">
        <v>5034</v>
      </c>
      <c r="B5061" t="str">
        <f>HYPERLINK("ほ/ほん　膈噎　翻胃　成書年未詳　灸穴集　著者未詳.jpg")</f>
        <v>ほ/ほん　膈噎　翻胃　成書年未詳　灸穴集　著者未詳.jpg</v>
      </c>
    </row>
    <row r="5062" spans="1:2" x14ac:dyDescent="0.15">
      <c r="A5062" t="s">
        <v>5035</v>
      </c>
      <c r="B5062" t="str">
        <f>HYPERLINK("ほ/ほん　賁豚　0650　千金方　孫思ばく_ページ_1.jpg")</f>
        <v>ほ/ほん　賁豚　0650　千金方　孫思ばく_ページ_1.jpg</v>
      </c>
    </row>
    <row r="5063" spans="1:2" x14ac:dyDescent="0.15">
      <c r="A5063" t="s">
        <v>5036</v>
      </c>
      <c r="B5063" t="str">
        <f>HYPERLINK("ほ/ほん　賁豚　0650　千金方　孫思ばく_ページ_2.jpg")</f>
        <v>ほ/ほん　賁豚　0650　千金方　孫思ばく_ページ_2.jpg</v>
      </c>
    </row>
    <row r="5064" spans="1:2" x14ac:dyDescent="0.15">
      <c r="A5064" t="s">
        <v>5037</v>
      </c>
      <c r="B5064" t="str">
        <f>HYPERLINK("ほ/ほん　賁豚気　1220　鍼灸資生経　王執中_ページ_1.jpg")</f>
        <v>ほ/ほん　賁豚気　1220　鍼灸資生経　王執中_ページ_1.jpg</v>
      </c>
    </row>
    <row r="5065" spans="1:2" x14ac:dyDescent="0.15">
      <c r="A5065" t="s">
        <v>5038</v>
      </c>
      <c r="B5065" t="str">
        <f>HYPERLINK("ほ/ほん　賁豚気　1220　鍼灸資生経　王執中_ページ_2.jpg")</f>
        <v>ほ/ほん　賁豚気　1220　鍼灸資生経　王執中_ページ_2.jpg</v>
      </c>
    </row>
    <row r="5066" spans="1:2" x14ac:dyDescent="0.15">
      <c r="A5066" t="s">
        <v>5039</v>
      </c>
      <c r="B5066" t="str">
        <f>HYPERLINK("ほ/ほん　賁豚気　1912年（大正01）　鍼灸手引草　久木田七郎.jpg")</f>
        <v>ほ/ほん　賁豚気　1912年（大正01）　鍼灸手引草　久木田七郎.jpg</v>
      </c>
    </row>
    <row r="5067" spans="1:2" x14ac:dyDescent="0.15">
      <c r="A5067" t="s">
        <v>5040</v>
      </c>
      <c r="B5067" t="str">
        <f>HYPERLINK("ぼ/ぼう　亡心之針　1685　鍼道秘訣集　御園夢分斎.jpg")</f>
        <v>ぼ/ぼう　亡心之針　1685　鍼道秘訣集　御園夢分斎.jpg</v>
      </c>
    </row>
    <row r="5068" spans="1:2" x14ac:dyDescent="0.15">
      <c r="A5068" t="s">
        <v>5041</v>
      </c>
      <c r="B5068" t="str">
        <f>HYPERLINK("ぼ/ぼう　膀胱気　1220　鍼灸資生経　王執中_ページ_1.jpg")</f>
        <v>ぼ/ぼう　膀胱気　1220　鍼灸資生経　王執中_ページ_1.jpg</v>
      </c>
    </row>
    <row r="5069" spans="1:2" x14ac:dyDescent="0.15">
      <c r="A5069" t="s">
        <v>5042</v>
      </c>
      <c r="B5069" t="str">
        <f>HYPERLINK("ぼ/ぼう　膀胱気　1220　鍼灸資生経　王執中_ページ_2.jpg")</f>
        <v>ぼ/ぼう　膀胱気　1220　鍼灸資生経　王執中_ページ_2.jpg</v>
      </c>
    </row>
    <row r="5070" spans="1:2" x14ac:dyDescent="0.15">
      <c r="A5070" t="s">
        <v>5043</v>
      </c>
      <c r="B5070" t="str">
        <f>HYPERLINK("ぼ/ぼう　膀胱病　1912年（大正01）　鍼灸手引草　久木田七郎.jpg")</f>
        <v>ぼ/ぼう　膀胱病　1912年（大正01）　鍼灸手引草　久木田七郎.jpg</v>
      </c>
    </row>
    <row r="5071" spans="1:2" x14ac:dyDescent="0.15">
      <c r="A5071" t="s">
        <v>5044</v>
      </c>
      <c r="B5071" t="str">
        <f>HYPERLINK("ま/ま　麻木　1767　鍼灸則　菅沼周桂_ページ_1.jpg")</f>
        <v>ま/ま　麻木　1767　鍼灸則　菅沼周桂_ページ_1.jpg</v>
      </c>
    </row>
    <row r="5072" spans="1:2" x14ac:dyDescent="0.15">
      <c r="A5072" t="s">
        <v>5045</v>
      </c>
      <c r="B5072" t="str">
        <f>HYPERLINK("ま/ま　麻木　1767　鍼灸則　菅沼周桂_ページ_2.jpg")</f>
        <v>ま/ま　麻木　1767　鍼灸則　菅沼周桂_ページ_2.jpg</v>
      </c>
    </row>
    <row r="5073" spans="1:2" x14ac:dyDescent="0.15">
      <c r="A5073" t="s">
        <v>5046</v>
      </c>
      <c r="B5073" t="str">
        <f>HYPERLINK("ま/ま　麻木　不仁　1669　鍼灸枢要　山本玄通_ページ_1.jpg")</f>
        <v>ま/ま　麻木　不仁　1669　鍼灸枢要　山本玄通_ページ_1.jpg</v>
      </c>
    </row>
    <row r="5074" spans="1:2" x14ac:dyDescent="0.15">
      <c r="A5074" t="s">
        <v>5047</v>
      </c>
      <c r="B5074" t="str">
        <f>HYPERLINK("ま/ま　麻木　不仁　1669　鍼灸枢要　山本玄通_ページ_2.jpg")</f>
        <v>ま/ま　麻木　不仁　1669　鍼灸枢要　山本玄通_ページ_2.jpg</v>
      </c>
    </row>
    <row r="5075" spans="1:2" x14ac:dyDescent="0.15">
      <c r="A5075" t="s">
        <v>5048</v>
      </c>
      <c r="B5075" t="str">
        <f>HYPERLINK("ま/ま　麻木　不仁　1669　鍼灸枢要　山本玄通_ページ_3.jpg")</f>
        <v>ま/ま　麻木　不仁　1669　鍼灸枢要　山本玄通_ページ_3.jpg</v>
      </c>
    </row>
    <row r="5076" spans="1:2" x14ac:dyDescent="0.15">
      <c r="A5076" t="s">
        <v>5049</v>
      </c>
      <c r="B5076" t="str">
        <f>HYPERLINK("ま/ま　麻木　不仁　1794　杉山流鍼術　島浦和田一.jpg")</f>
        <v>ま/ま　麻木　不仁　1794　杉山流鍼術　島浦和田一.jpg</v>
      </c>
    </row>
    <row r="5077" spans="1:2" x14ac:dyDescent="0.15">
      <c r="A5077" t="s">
        <v>5050</v>
      </c>
      <c r="B5077" t="str">
        <f>HYPERLINK("ま/ま　麻木　不仁　1800　鍼灸備要　小坂元祐_ページ_1.jpg")</f>
        <v>ま/ま　麻木　不仁　1800　鍼灸備要　小坂元祐_ページ_1.jpg</v>
      </c>
    </row>
    <row r="5078" spans="1:2" x14ac:dyDescent="0.15">
      <c r="A5078" t="s">
        <v>5051</v>
      </c>
      <c r="B5078" t="str">
        <f>HYPERLINK("ま/ま　麻木　不仁　1800　鍼灸備要　小坂元祐_ページ_2.jpg")</f>
        <v>ま/ま　麻木　不仁　1800　鍼灸備要　小坂元祐_ページ_2.jpg</v>
      </c>
    </row>
    <row r="5079" spans="1:2" x14ac:dyDescent="0.15">
      <c r="A5079" t="s">
        <v>5052</v>
      </c>
      <c r="B5079" t="str">
        <f>HYPERLINK("ま/ま　麻木（まぼく）　しびれ　麻痺病　1887（明治20）　鍼灸備要　青山道醇.jpg")</f>
        <v>ま/ま　麻木（まぼく）　しびれ　麻痺病　1887（明治20）　鍼灸備要　青山道醇.jpg</v>
      </c>
    </row>
    <row r="5080" spans="1:2" x14ac:dyDescent="0.15">
      <c r="A5080" t="s">
        <v>5053</v>
      </c>
      <c r="B5080" t="str">
        <f>HYPERLINK("ま/ま　麻疹　1792　鍼法要集　源長起.jpg")</f>
        <v>ま/ま　麻疹　1792　鍼法要集　源長起.jpg</v>
      </c>
    </row>
    <row r="5081" spans="1:2" x14ac:dyDescent="0.15">
      <c r="A5081" t="s">
        <v>5054</v>
      </c>
      <c r="B5081" t="str">
        <f>HYPERLINK("ま/ま　麻痺　成書年未詳　灸穴集　著者未詳.jpg")</f>
        <v>ま/ま　麻痺　成書年未詳　灸穴集　著者未詳.jpg</v>
      </c>
    </row>
    <row r="5082" spans="1:2" x14ac:dyDescent="0.15">
      <c r="A5082" t="s">
        <v>5055</v>
      </c>
      <c r="B5082" t="str">
        <f>HYPERLINK("ま/まん　万病総治　1800　岡田流鍼術書　岡田見龍_ページ_1.jpg")</f>
        <v>ま/まん　万病総治　1800　岡田流鍼術書　岡田見龍_ページ_1.jpg</v>
      </c>
    </row>
    <row r="5083" spans="1:2" x14ac:dyDescent="0.15">
      <c r="A5083" t="s">
        <v>5056</v>
      </c>
      <c r="B5083" t="str">
        <f>HYPERLINK("ま/まん　万病総治　1800　岡田流鍼術書　岡田見龍_ページ_2.jpg")</f>
        <v>ま/まん　万病総治　1800　岡田流鍼術書　岡田見龍_ページ_2.jpg</v>
      </c>
    </row>
    <row r="5084" spans="1:2" x14ac:dyDescent="0.15">
      <c r="A5084" t="s">
        <v>5057</v>
      </c>
      <c r="B5084" t="str">
        <f>HYPERLINK("み/みゃく　脈微細不見或時無脈者　1315　鍼経摘英集　元・杜思敬「済生抜粋方」.jpg")</f>
        <v>み/みゃく　脈微細不見或時無脈者　1315　鍼経摘英集　元・杜思敬「済生抜粋方」.jpg</v>
      </c>
    </row>
    <row r="5085" spans="1:2" x14ac:dyDescent="0.15">
      <c r="A5085" t="s">
        <v>5058</v>
      </c>
      <c r="B5085" t="str">
        <f>HYPERLINK("み/みゃく　脈絶　1773　鍼灸手引草　大簡室主人_ページ_1.jpg")</f>
        <v>み/みゃく　脈絶　1773　鍼灸手引草　大簡室主人_ページ_1.jpg</v>
      </c>
    </row>
    <row r="5086" spans="1:2" x14ac:dyDescent="0.15">
      <c r="A5086" t="s">
        <v>5059</v>
      </c>
      <c r="B5086" t="str">
        <f>HYPERLINK("み/みゃく　脈絶　1773　鍼灸手引草　大簡室主人_ページ_2.jpg")</f>
        <v>み/みゃく　脈絶　1773　鍼灸手引草　大簡室主人_ページ_2.jpg</v>
      </c>
    </row>
    <row r="5087" spans="1:2" x14ac:dyDescent="0.15">
      <c r="A5087" t="s">
        <v>5060</v>
      </c>
      <c r="B5087" t="str">
        <f>HYPERLINK("み/みゃく　脉絶　みやくたゆる　1718　鍼灸重宝記　本郷正豊.jpg")</f>
        <v>み/みゃく　脉絶　みやくたゆる　1718　鍼灸重宝記　本郷正豊.jpg</v>
      </c>
    </row>
    <row r="5088" spans="1:2" x14ac:dyDescent="0.15">
      <c r="A5088" t="s">
        <v>5061</v>
      </c>
      <c r="B5088" t="str">
        <f>HYPERLINK("み/みゃく　（脈代）●胸中寒発脈代　第一　0300　鍼灸甲乙経　皇甫謐.jpg")</f>
        <v>み/みゃく　（脈代）●胸中寒発脈代　第一　0300　鍼灸甲乙経　皇甫謐.jpg</v>
      </c>
    </row>
    <row r="5089" spans="1:2" x14ac:dyDescent="0.15">
      <c r="A5089" t="s">
        <v>5062</v>
      </c>
      <c r="B5089" t="str">
        <f>HYPERLINK("む/む　夢寐　1669　鍼灸枢要　山本玄通_ページ_1.jpg")</f>
        <v>む/む　夢寐　1669　鍼灸枢要　山本玄通_ページ_1.jpg</v>
      </c>
    </row>
    <row r="5090" spans="1:2" x14ac:dyDescent="0.15">
      <c r="A5090" t="s">
        <v>5063</v>
      </c>
      <c r="B5090" t="str">
        <f>HYPERLINK("む/む　夢寐　1669　鍼灸枢要　山本玄通_ページ_2.jpg")</f>
        <v>む/む　夢寐　1669　鍼灸枢要　山本玄通_ページ_2.jpg</v>
      </c>
    </row>
    <row r="5091" spans="1:2" x14ac:dyDescent="0.15">
      <c r="A5091" t="s">
        <v>5064</v>
      </c>
      <c r="B5091" t="str">
        <f>HYPERLINK("む/む　夢遺　1537　鍼灸聚英　明・高武.jpg")</f>
        <v>む/む　夢遺　1537　鍼灸聚英　明・高武.jpg</v>
      </c>
    </row>
    <row r="5092" spans="1:2" x14ac:dyDescent="0.15">
      <c r="A5092" t="s">
        <v>5065</v>
      </c>
      <c r="B5092" t="str">
        <f>HYPERLINK("む/む　夢遺失精　白濁　1912年（大正01）　鍼灸手引草　久木田七郎_ページ_1.jpg")</f>
        <v>む/む　夢遺失精　白濁　1912年（大正01）　鍼灸手引草　久木田七郎_ページ_1.jpg</v>
      </c>
    </row>
    <row r="5093" spans="1:2" x14ac:dyDescent="0.15">
      <c r="A5093" t="s">
        <v>5066</v>
      </c>
      <c r="B5093" t="str">
        <f>HYPERLINK("む/む　夢遺失精　白濁　1912年（大正01）　鍼灸手引草　久木田七郎_ページ_2.jpg")</f>
        <v>む/む　夢遺失精　白濁　1912年（大正01）　鍼灸手引草　久木田七郎_ページ_2.jpg</v>
      </c>
    </row>
    <row r="5094" spans="1:2" x14ac:dyDescent="0.15">
      <c r="A5094" t="s">
        <v>5067</v>
      </c>
      <c r="B5094" t="str">
        <f>HYPERLINK("む/む　夢遺失精（白濁）　1220　鍼灸資生経　王執中_ページ_1.jpg")</f>
        <v>む/む　夢遺失精（白濁）　1220　鍼灸資生経　王執中_ページ_1.jpg</v>
      </c>
    </row>
    <row r="5095" spans="1:2" x14ac:dyDescent="0.15">
      <c r="A5095" t="s">
        <v>5068</v>
      </c>
      <c r="B5095" t="str">
        <f>HYPERLINK("む/む　夢遺失精（白濁）　1220　鍼灸資生経　王執中_ページ_2.jpg")</f>
        <v>む/む　夢遺失精（白濁）　1220　鍼灸資生経　王執中_ページ_2.jpg</v>
      </c>
    </row>
    <row r="5096" spans="1:2" x14ac:dyDescent="0.15">
      <c r="A5096" t="s">
        <v>5069</v>
      </c>
      <c r="B5096" t="str">
        <f>HYPERLINK("む/む　夢遺精滑遺精　成書年未詳　灸穴集　著者未詳_ページ_1.jpg")</f>
        <v>む/む　夢遺精滑遺精　成書年未詳　灸穴集　著者未詳_ページ_1.jpg</v>
      </c>
    </row>
    <row r="5097" spans="1:2" x14ac:dyDescent="0.15">
      <c r="A5097" t="s">
        <v>5070</v>
      </c>
      <c r="B5097" t="str">
        <f>HYPERLINK("む/む　夢遺精滑遺精　成書年未詳　灸穴集　著者未詳_ページ_2.jpg")</f>
        <v>む/む　夢遺精滑遺精　成書年未詳　灸穴集　著者未詳_ページ_2.jpg</v>
      </c>
    </row>
    <row r="5098" spans="1:2" x14ac:dyDescent="0.15">
      <c r="A5098" t="s">
        <v>5071</v>
      </c>
      <c r="B5098" t="str">
        <f>HYPERLINK("む/む　夢遺精滑鬼交　1624　類経図翼　明・張介賓.jpg")</f>
        <v>む/む　夢遺精滑鬼交　1624　類経図翼　明・張介賓.jpg</v>
      </c>
    </row>
    <row r="5099" spans="1:2" x14ac:dyDescent="0.15">
      <c r="A5099" t="s">
        <v>5072</v>
      </c>
      <c r="B5099" t="str">
        <f>HYPERLINK("む/む　夢魘（雑夢）　1220　鍼灸資生経　王執中.jpg")</f>
        <v>む/む　夢魘（雑夢）　1220　鍼灸資生経　王執中.jpg</v>
      </c>
    </row>
    <row r="5100" spans="1:2" x14ac:dyDescent="0.15">
      <c r="A5100" t="s">
        <v>5073</v>
      </c>
      <c r="B5100" t="str">
        <f>HYPERLINK("む/む　無子（むし）　こなし　不孕病（ふようびょう）　1887（明治20）　鍼灸備要　青山道醇_ページ_1.jpg")</f>
        <v>む/む　無子（むし）　こなし　不孕病（ふようびょう）　1887（明治20）　鍼灸備要　青山道醇_ページ_1.jpg</v>
      </c>
    </row>
    <row r="5101" spans="1:2" x14ac:dyDescent="0.15">
      <c r="A5101" t="s">
        <v>5074</v>
      </c>
      <c r="B5101" t="str">
        <f>HYPERLINK("む/む　無子（むし）　こなし　不孕病（ふようびょう）　1887（明治20）　鍼灸備要　青山道醇_ページ_2.jpg")</f>
        <v>む/む　無子（むし）　こなし　不孕病（ふようびょう）　1887（明治20）　鍼灸備要　青山道醇_ページ_2.jpg</v>
      </c>
    </row>
    <row r="5102" spans="1:2" x14ac:dyDescent="0.15">
      <c r="A5102" t="s">
        <v>5075</v>
      </c>
      <c r="B5102" t="str">
        <f>HYPERLINK("む/む　無汗　1765　鍼法弁惑　藤井秀孟_ページ_1.jpg")</f>
        <v>む/む　無汗　1765　鍼法弁惑　藤井秀孟_ページ_1.jpg</v>
      </c>
    </row>
    <row r="5103" spans="1:2" x14ac:dyDescent="0.15">
      <c r="A5103" t="s">
        <v>5076</v>
      </c>
      <c r="B5103" t="str">
        <f>HYPERLINK("む/む　無汗　1765　鍼法弁惑　藤井秀孟_ページ_2.jpg")</f>
        <v>む/む　無汗　1765　鍼法弁惑　藤井秀孟_ページ_2.jpg</v>
      </c>
    </row>
    <row r="5104" spans="1:2" x14ac:dyDescent="0.15">
      <c r="A5104" t="s">
        <v>5077</v>
      </c>
      <c r="B5104" t="str">
        <f>HYPERLINK("む/むし　虫喰歯　1607　扁鵲新流鍼書　越齋寿閑.jpg")</f>
        <v>む/むし　虫喰歯　1607　扁鵲新流鍼書　越齋寿閑.jpg</v>
      </c>
    </row>
    <row r="5105" spans="1:2" x14ac:dyDescent="0.15">
      <c r="A5105" t="s">
        <v>5078</v>
      </c>
      <c r="B5105" t="str">
        <f>HYPERLINK("む/むし　虫喰歯之針穴　1613　古今集鍼法　長生庵了味か.jpg")</f>
        <v>む/むし　虫喰歯之針穴　1613　古今集鍼法　長生庵了味か.jpg</v>
      </c>
    </row>
    <row r="5106" spans="1:2" x14ac:dyDescent="0.15">
      <c r="A5106" t="s">
        <v>5079</v>
      </c>
      <c r="B5106" t="str">
        <f>HYPERLINK("む/むし　虫歯痛灸　1594　経脈方寸秘書　曲直瀬道三.jpg")</f>
        <v>む/むし　虫歯痛灸　1594　経脈方寸秘書　曲直瀬道三.jpg</v>
      </c>
    </row>
    <row r="5107" spans="1:2" x14ac:dyDescent="0.15">
      <c r="A5107" t="s">
        <v>5080</v>
      </c>
      <c r="B5107" t="str">
        <f>HYPERLINK("む/むし　諸虫　1767　鍼灸則　菅沼周桂.jpg")</f>
        <v>む/むし　諸虫　1767　鍼灸則　菅沼周桂.jpg</v>
      </c>
    </row>
    <row r="5108" spans="1:2" x14ac:dyDescent="0.15">
      <c r="A5108" t="s">
        <v>5081</v>
      </c>
      <c r="B5108" t="str">
        <f>HYPERLINK("め/めん　面　1800　鍼灸備要　小坂元祐_ページ_1.jpg")</f>
        <v>め/めん　面　1800　鍼灸備要　小坂元祐_ページ_1.jpg</v>
      </c>
    </row>
    <row r="5109" spans="1:2" x14ac:dyDescent="0.15">
      <c r="A5109" t="s">
        <v>5082</v>
      </c>
      <c r="B5109" t="str">
        <f>HYPERLINK("め/めん　面　1800　鍼灸備要　小坂元祐_ページ_2.jpg")</f>
        <v>め/めん　面　1800　鍼灸備要　小坂元祐_ページ_2.jpg</v>
      </c>
    </row>
    <row r="5110" spans="1:2" x14ac:dyDescent="0.15">
      <c r="A5110" t="s">
        <v>5083</v>
      </c>
      <c r="B5110" t="str">
        <f>HYPERLINK("め/めん　面　頤　頬　1669　鍼灸枢要　山本玄通_ページ_1.jpg")</f>
        <v>め/めん　面　頤　頬　1669　鍼灸枢要　山本玄通_ページ_1.jpg</v>
      </c>
    </row>
    <row r="5111" spans="1:2" x14ac:dyDescent="0.15">
      <c r="A5111" t="s">
        <v>5084</v>
      </c>
      <c r="B5111" t="str">
        <f>HYPERLINK("め/めん　面　頤　頬　1669　鍼灸枢要　山本玄通_ページ_2.jpg")</f>
        <v>め/めん　面　頤　頬　1669　鍼灸枢要　山本玄通_ページ_2.jpg</v>
      </c>
    </row>
    <row r="5112" spans="1:2" x14ac:dyDescent="0.15">
      <c r="A5112" t="s">
        <v>5085</v>
      </c>
      <c r="B5112" t="str">
        <f>HYPERLINK("め/めん　面　頤　頬　1669　鍼灸枢要　山本玄通_ページ_3.jpg")</f>
        <v>め/めん　面　頤　頬　1669　鍼灸枢要　山本玄通_ページ_3.jpg</v>
      </c>
    </row>
    <row r="5113" spans="1:2" x14ac:dyDescent="0.15">
      <c r="A5113" t="s">
        <v>5086</v>
      </c>
      <c r="B5113" t="str">
        <f>HYPERLINK("め/めん　面　頤　頬　1669　鍼灸枢要　山本玄通_ページ_4.jpg")</f>
        <v>め/めん　面　頤　頬　1669　鍼灸枢要　山本玄通_ページ_4.jpg</v>
      </c>
    </row>
    <row r="5114" spans="1:2" x14ac:dyDescent="0.15">
      <c r="A5114" t="s">
        <v>5087</v>
      </c>
      <c r="B5114" t="str">
        <f>HYPERLINK("め/めん　面病　0650　千金方　孫思ばく.jpg")</f>
        <v>め/めん　面病　0650　千金方　孫思ばく.jpg</v>
      </c>
    </row>
    <row r="5115" spans="1:2" x14ac:dyDescent="0.15">
      <c r="A5115" t="s">
        <v>5088</v>
      </c>
      <c r="B5115" t="str">
        <f>HYPERLINK("め/めん　面病　1686　鍼灸要法指南　岩田利斎_ページ_1.jpg")</f>
        <v>め/めん　面病　1686　鍼灸要法指南　岩田利斎_ページ_1.jpg</v>
      </c>
    </row>
    <row r="5116" spans="1:2" x14ac:dyDescent="0.15">
      <c r="A5116" t="s">
        <v>5089</v>
      </c>
      <c r="B5116" t="str">
        <f>HYPERLINK("め/めん　面病　1686　鍼灸要法指南　岩田利斎_ページ_2.jpg")</f>
        <v>め/めん　面病　1686　鍼灸要法指南　岩田利斎_ページ_2.jpg</v>
      </c>
    </row>
    <row r="5117" spans="1:2" x14ac:dyDescent="0.15">
      <c r="A5117" t="s">
        <v>5090</v>
      </c>
      <c r="B5117" t="str">
        <f>HYPERLINK("め/めん　面痛　1220　鍼灸資生経　王執中.jpg")</f>
        <v>め/めん　面痛　1220　鍼灸資生経　王執中.jpg</v>
      </c>
    </row>
    <row r="5118" spans="1:2" x14ac:dyDescent="0.15">
      <c r="A5118" t="s">
        <v>5091</v>
      </c>
      <c r="B5118" t="str">
        <f>HYPERLINK("め/めん　面痛（めんつう）　かほのいたむ病　顔面神経痛　1887（明治20）　鍼灸備要　青山道醇.jpg")</f>
        <v>め/めん　面痛（めんつう）　かほのいたむ病　顔面神経痛　1887（明治20）　鍼灸備要　青山道醇.jpg</v>
      </c>
    </row>
    <row r="5119" spans="1:2" x14ac:dyDescent="0.15">
      <c r="A5119" t="s">
        <v>5092</v>
      </c>
      <c r="B5119" t="str">
        <f>HYPERLINK("め/めん　面腫（余見水腫）　1220　鍼灸資生経　王執中_ページ_1.jpg")</f>
        <v>め/めん　面腫（余見水腫）　1220　鍼灸資生経　王執中_ページ_1.jpg</v>
      </c>
    </row>
    <row r="5120" spans="1:2" x14ac:dyDescent="0.15">
      <c r="A5120" t="s">
        <v>5093</v>
      </c>
      <c r="B5120" t="str">
        <f>HYPERLINK("め/めん　面腫（余見水腫）　1220　鍼灸資生経　王執中_ページ_2.jpg")</f>
        <v>め/めん　面腫（余見水腫）　1220　鍼灸資生経　王執中_ページ_2.jpg</v>
      </c>
    </row>
    <row r="5121" spans="1:2" x14ac:dyDescent="0.15">
      <c r="A5121" t="s">
        <v>5094</v>
      </c>
      <c r="B5121" t="str">
        <f>HYPERLINK("め/めん　面赤腫黒　1299　続添要穴集　惟宗時俊.jpg")</f>
        <v>め/めん　面赤腫黒　1299　続添要穴集　惟宗時俊.jpg</v>
      </c>
    </row>
    <row r="5122" spans="1:2" x14ac:dyDescent="0.15">
      <c r="A5122" t="s">
        <v>5095</v>
      </c>
      <c r="B5122" t="str">
        <f>HYPERLINK("も/もく　●目不得眠不得視及多臥臥不安不得偃臥肉苛諸息有音及喘　第三　0300　鍼灸甲乙経　皇甫謐_ページ_1.jpg")</f>
        <v>も/もく　●目不得眠不得視及多臥臥不安不得偃臥肉苛諸息有音及喘　第三　0300　鍼灸甲乙経　皇甫謐_ページ_1.jpg</v>
      </c>
    </row>
    <row r="5123" spans="1:2" x14ac:dyDescent="0.15">
      <c r="A5123" t="s">
        <v>5096</v>
      </c>
      <c r="B5123" t="str">
        <f>HYPERLINK("も/もく　●目不得眠不得視及多臥臥不安不得偃臥肉苛諸息有音及喘　第三　0300　鍼灸甲乙経　皇甫謐_ページ_2.jpg")</f>
        <v>も/もく　●目不得眠不得視及多臥臥不安不得偃臥肉苛諸息有音及喘　第三　0300　鍼灸甲乙経　皇甫謐_ページ_2.jpg</v>
      </c>
    </row>
    <row r="5124" spans="1:2" x14ac:dyDescent="0.15">
      <c r="A5124" t="s">
        <v>5097</v>
      </c>
      <c r="B5124" t="str">
        <f>HYPERLINK("も/もく　●目不得眠不得視及多臥臥不安不得偃臥肉苛諸息有音及喘　第三　0300　鍼灸甲乙経　皇甫謐_ページ_3.jpg")</f>
        <v>も/もく　●目不得眠不得視及多臥臥不安不得偃臥肉苛諸息有音及喘　第三　0300　鍼灸甲乙経　皇甫謐_ページ_3.jpg</v>
      </c>
    </row>
    <row r="5125" spans="1:2" x14ac:dyDescent="0.15">
      <c r="A5125" t="s">
        <v>5098</v>
      </c>
      <c r="B5125" t="str">
        <f>HYPERLINK("も/もく　目し　やに　1765　鍼法弁惑　藤井秀孟.jpg")</f>
        <v>も/もく　目し　やに　1765　鍼法弁惑　藤井秀孟.jpg</v>
      </c>
    </row>
    <row r="5126" spans="1:2" x14ac:dyDescent="0.15">
      <c r="A5126" t="s">
        <v>5099</v>
      </c>
      <c r="B5126" t="str">
        <f>HYPERLINK("も/もく　目じゅん　めひくひくうごく　1765　鍼法弁惑　藤井秀孟.jpg")</f>
        <v>も/もく　目じゅん　めひくひくうごく　1765　鍼法弁惑　藤井秀孟.jpg</v>
      </c>
    </row>
    <row r="5127" spans="1:2" x14ac:dyDescent="0.15">
      <c r="A5127" t="s">
        <v>5100</v>
      </c>
      <c r="B5127" t="str">
        <f>HYPERLINK("も/もく　目の針　1607　扁鵲新流鍼書　越齋寿閑.jpg")</f>
        <v>も/もく　目の針　1607　扁鵲新流鍼書　越齋寿閑.jpg</v>
      </c>
    </row>
    <row r="5128" spans="1:2" x14ac:dyDescent="0.15">
      <c r="A5128" t="s">
        <v>5101</v>
      </c>
      <c r="B5128" t="str">
        <f>HYPERLINK("も/もく　目べつ　ただれ　1765　鍼法弁惑　藤井秀孟.jpg")</f>
        <v>も/もく　目べつ　ただれ　1765　鍼法弁惑　藤井秀孟.jpg</v>
      </c>
    </row>
    <row r="5129" spans="1:2" x14ac:dyDescent="0.15">
      <c r="A5129" t="s">
        <v>5102</v>
      </c>
      <c r="B5129" t="str">
        <f>HYPERLINK("も/もく　目上視　1912年（大正01）　鍼灸手引草　久木田七郎.jpg")</f>
        <v>も/もく　目上視　1912年（大正01）　鍼灸手引草　久木田七郎.jpg</v>
      </c>
    </row>
    <row r="5130" spans="1:2" x14ac:dyDescent="0.15">
      <c r="A5130" t="s">
        <v>5103</v>
      </c>
      <c r="B5130" t="str">
        <f>HYPERLINK("も/もく　目上視（目動）　1220　鍼灸資生経　王執中.jpg")</f>
        <v>も/もく　目上視（目動）　1220　鍼灸資生経　王執中.jpg</v>
      </c>
    </row>
    <row r="5131" spans="1:2" x14ac:dyDescent="0.15">
      <c r="A5131" t="s">
        <v>5104</v>
      </c>
      <c r="B5131" t="str">
        <f>HYPERLINK("も/もく　目不明　1220　鍼灸資生経　王執中_ページ_1.jpg")</f>
        <v>も/もく　目不明　1220　鍼灸資生経　王執中_ページ_1.jpg</v>
      </c>
    </row>
    <row r="5132" spans="1:2" x14ac:dyDescent="0.15">
      <c r="A5132" t="s">
        <v>5105</v>
      </c>
      <c r="B5132" t="str">
        <f>HYPERLINK("も/もく　目不明　1220　鍼灸資生経　王執中_ページ_2.jpg")</f>
        <v>も/もく　目不明　1220　鍼灸資生経　王執中_ページ_2.jpg</v>
      </c>
    </row>
    <row r="5133" spans="1:2" x14ac:dyDescent="0.15">
      <c r="A5133" t="s">
        <v>5106</v>
      </c>
      <c r="B5133" t="str">
        <f>HYPERLINK("も/もく　目不明　1220　鍼灸資生経　王執中_ページ_3.jpg")</f>
        <v>も/もく　目不明　1220　鍼灸資生経　王執中_ページ_3.jpg</v>
      </c>
    </row>
    <row r="5134" spans="1:2" x14ac:dyDescent="0.15">
      <c r="A5134" t="s">
        <v>5107</v>
      </c>
      <c r="B5134" t="str">
        <f>HYPERLINK("も/もく　目不明　1912年（大正01）　鍼灸手引草　久木田七郎.jpg")</f>
        <v>も/もく　目不明　1912年（大正01）　鍼灸手引草　久木田七郎.jpg</v>
      </c>
    </row>
    <row r="5135" spans="1:2" x14ac:dyDescent="0.15">
      <c r="A5135" t="s">
        <v>5108</v>
      </c>
      <c r="B5135" t="str">
        <f>HYPERLINK("も/もく　目不瞑　1765　鍼法弁惑　藤井秀孟.jpg")</f>
        <v>も/もく　目不瞑　1765　鍼法弁惑　藤井秀孟.jpg</v>
      </c>
    </row>
    <row r="5136" spans="1:2" x14ac:dyDescent="0.15">
      <c r="A5136" t="s">
        <v>5109</v>
      </c>
      <c r="B5136" t="str">
        <f>HYPERLINK("も/もく　目反上張　めのひっくりかえる　1765　鍼法弁惑　藤井秀孟.jpg")</f>
        <v>も/もく　目反上張　めのひっくりかえる　1765　鍼法弁惑　藤井秀孟.jpg</v>
      </c>
    </row>
    <row r="5137" spans="1:2" x14ac:dyDescent="0.15">
      <c r="A5137" t="s">
        <v>5110</v>
      </c>
      <c r="B5137" t="str">
        <f>HYPERLINK("も/もく　目昏　1329　扁鵲神応鍼灸玉龍経　元・王国瑞.jpg")</f>
        <v>も/もく　目昏　1329　扁鵲神応鍼灸玉龍経　元・王国瑞.jpg</v>
      </c>
    </row>
    <row r="5138" spans="1:2" x14ac:dyDescent="0.15">
      <c r="A5138" t="s">
        <v>5111</v>
      </c>
      <c r="B5138" t="str">
        <f>HYPERLINK("も/もく　目涙出　1220　鍼灸資生経　王執中_ページ_1.jpg")</f>
        <v>も/もく　目涙出　1220　鍼灸資生経　王執中_ページ_1.jpg</v>
      </c>
    </row>
    <row r="5139" spans="1:2" x14ac:dyDescent="0.15">
      <c r="A5139" t="s">
        <v>5112</v>
      </c>
      <c r="B5139" t="str">
        <f>HYPERLINK("も/もく　目涙出　1220　鍼灸資生経　王執中_ページ_2.jpg")</f>
        <v>も/もく　目涙出　1220　鍼灸資生経　王執中_ページ_2.jpg</v>
      </c>
    </row>
    <row r="5140" spans="1:2" x14ac:dyDescent="0.15">
      <c r="A5140" t="s">
        <v>5113</v>
      </c>
      <c r="B5140" t="str">
        <f>HYPERLINK("も/もく　目熱　1329　扁鵲神応鍼灸玉龍経　元・王国瑞.jpg")</f>
        <v>も/もく　目熱　1329　扁鵲神応鍼灸玉龍経　元・王国瑞.jpg</v>
      </c>
    </row>
    <row r="5141" spans="1:2" x14ac:dyDescent="0.15">
      <c r="A5141" t="s">
        <v>5114</v>
      </c>
      <c r="B5141" t="str">
        <f>HYPERLINK("も/もく　目爛　1329　扁鵲神応鍼灸玉龍経　元・王国瑞_ページ_1.jpg")</f>
        <v>も/もく　目爛　1329　扁鵲神応鍼灸玉龍経　元・王国瑞_ページ_1.jpg</v>
      </c>
    </row>
    <row r="5142" spans="1:2" x14ac:dyDescent="0.15">
      <c r="A5142" t="s">
        <v>5115</v>
      </c>
      <c r="B5142" t="str">
        <f>HYPERLINK("も/もく　目爛　1329　扁鵲神応鍼灸玉龍経　元・王国瑞_ページ_2.jpg")</f>
        <v>も/もく　目爛　1329　扁鵲神応鍼灸玉龍経　元・王国瑞_ページ_2.jpg</v>
      </c>
    </row>
    <row r="5143" spans="1:2" x14ac:dyDescent="0.15">
      <c r="A5143" t="s">
        <v>5116</v>
      </c>
      <c r="B5143" t="str">
        <f>HYPERLINK("も/もく　目疾　1574　兪穴参伍的法　秦宗巴.jpg")</f>
        <v>も/もく　目疾　1574　兪穴参伍的法　秦宗巴.jpg</v>
      </c>
    </row>
    <row r="5144" spans="1:2" x14ac:dyDescent="0.15">
      <c r="A5144" t="s">
        <v>5117</v>
      </c>
      <c r="B5144" t="str">
        <f>HYPERLINK("も/もく　目疾諸症　1765　鍼法弁惑　藤井秀孟_ページ_1.jpg")</f>
        <v>も/もく　目疾諸症　1765　鍼法弁惑　藤井秀孟_ページ_1.jpg</v>
      </c>
    </row>
    <row r="5145" spans="1:2" x14ac:dyDescent="0.15">
      <c r="A5145" t="s">
        <v>5118</v>
      </c>
      <c r="B5145" t="str">
        <f>HYPERLINK("も/もく　目疾諸症　1765　鍼法弁惑　藤井秀孟_ページ_2.jpg")</f>
        <v>も/もく　目疾諸症　1765　鍼法弁惑　藤井秀孟_ページ_2.jpg</v>
      </c>
    </row>
    <row r="5146" spans="1:2" x14ac:dyDescent="0.15">
      <c r="A5146" t="s">
        <v>5119</v>
      </c>
      <c r="B5146" t="str">
        <f>HYPERLINK("も/もく　目病　0300　●足太陽陽明手少陽脈動発目病　第四　鍼灸甲乙経　皇甫謐_ページ_1.jpg")</f>
        <v>も/もく　目病　0300　●足太陽陽明手少陽脈動発目病　第四　鍼灸甲乙経　皇甫謐_ページ_1.jpg</v>
      </c>
    </row>
    <row r="5147" spans="1:2" x14ac:dyDescent="0.15">
      <c r="A5147" t="s">
        <v>5120</v>
      </c>
      <c r="B5147" t="str">
        <f>HYPERLINK("も/もく　目病　0300　●足太陽陽明手少陽脈動発目病　第四　鍼灸甲乙経　皇甫謐_ページ_2.jpg")</f>
        <v>も/もく　目病　0300　●足太陽陽明手少陽脈動発目病　第四　鍼灸甲乙経　皇甫謐_ページ_2.jpg</v>
      </c>
    </row>
    <row r="5148" spans="1:2" x14ac:dyDescent="0.15">
      <c r="A5148" t="s">
        <v>5121</v>
      </c>
      <c r="B5148" t="str">
        <f>HYPERLINK("も/もく　目病　0300　●足太陽陽明手少陽脈動発目病　第四　鍼灸甲乙経　皇甫謐_ページ_3.jpg")</f>
        <v>も/もく　目病　0300　●足太陽陽明手少陽脈動発目病　第四　鍼灸甲乙経　皇甫謐_ページ_3.jpg</v>
      </c>
    </row>
    <row r="5149" spans="1:2" x14ac:dyDescent="0.15">
      <c r="A5149" t="s">
        <v>5122</v>
      </c>
      <c r="B5149" t="str">
        <f>HYPERLINK("も/もく　目病　0650　千金方　孫思ばく_ページ_1.jpg")</f>
        <v>も/もく　目病　0650　千金方　孫思ばく_ページ_1.jpg</v>
      </c>
    </row>
    <row r="5150" spans="1:2" x14ac:dyDescent="0.15">
      <c r="A5150" t="s">
        <v>5123</v>
      </c>
      <c r="B5150" t="str">
        <f>HYPERLINK("も/もく　目病　0650　千金方　孫思ばく_ページ_2.jpg")</f>
        <v>も/もく　目病　0650　千金方　孫思ばく_ページ_2.jpg</v>
      </c>
    </row>
    <row r="5151" spans="1:2" x14ac:dyDescent="0.15">
      <c r="A5151" t="s">
        <v>5124</v>
      </c>
      <c r="B5151" t="str">
        <f>HYPERLINK("も/もく　目病　0650　千金方　孫思ばく_ページ_3.jpg")</f>
        <v>も/もく　目病　0650　千金方　孫思ばく_ページ_3.jpg</v>
      </c>
    </row>
    <row r="5152" spans="1:2" x14ac:dyDescent="0.15">
      <c r="A5152" t="s">
        <v>5125</v>
      </c>
      <c r="B5152" t="str">
        <f>HYPERLINK("も/もく　目病隠渋　1329　扁鵲神応鍼灸玉龍経　元・王国瑞_ページ_1.jpg")</f>
        <v>も/もく　目病隠渋　1329　扁鵲神応鍼灸玉龍経　元・王国瑞_ページ_1.jpg</v>
      </c>
    </row>
    <row r="5153" spans="1:2" x14ac:dyDescent="0.15">
      <c r="A5153" t="s">
        <v>5126</v>
      </c>
      <c r="B5153" t="str">
        <f>HYPERLINK("も/もく　目病隠渋　1329　扁鵲神応鍼灸玉龍経　元・王国瑞_ページ_2.jpg")</f>
        <v>も/もく　目病隠渋　1329　扁鵲神応鍼灸玉龍経　元・王国瑞_ページ_2.jpg</v>
      </c>
    </row>
    <row r="5154" spans="1:2" x14ac:dyDescent="0.15">
      <c r="A5154" t="s">
        <v>5127</v>
      </c>
      <c r="B5154" t="str">
        <f>HYPERLINK("も/もく　目痛　1765　鍼法弁惑　藤井秀孟_ページ_1.jpg")</f>
        <v>も/もく　目痛　1765　鍼法弁惑　藤井秀孟_ページ_1.jpg</v>
      </c>
    </row>
    <row r="5155" spans="1:2" x14ac:dyDescent="0.15">
      <c r="A5155" t="s">
        <v>5128</v>
      </c>
      <c r="B5155" t="str">
        <f>HYPERLINK("も/もく　目痛　1765　鍼法弁惑　藤井秀孟_ページ_2.jpg")</f>
        <v>も/もく　目痛　1765　鍼法弁惑　藤井秀孟_ページ_2.jpg</v>
      </c>
    </row>
    <row r="5156" spans="1:2" x14ac:dyDescent="0.15">
      <c r="A5156" t="s">
        <v>5129</v>
      </c>
      <c r="B5156" t="str">
        <f>HYPERLINK("も/もく　目痛　1912年（大正01）　鍼灸手引草　久木田七郎.jpg")</f>
        <v>も/もく　目痛　1912年（大正01）　鍼灸手引草　久木田七郎.jpg</v>
      </c>
    </row>
    <row r="5157" spans="1:2" x14ac:dyDescent="0.15">
      <c r="A5157" t="s">
        <v>5130</v>
      </c>
      <c r="B5157" t="str">
        <f>HYPERLINK("も/もく　目痛（目瞑）　1220　鍼灸資生経　王執中_ページ_1.jpg")</f>
        <v>も/もく　目痛（目瞑）　1220　鍼灸資生経　王執中_ページ_1.jpg</v>
      </c>
    </row>
    <row r="5158" spans="1:2" x14ac:dyDescent="0.15">
      <c r="A5158" t="s">
        <v>5131</v>
      </c>
      <c r="B5158" t="str">
        <f>HYPERLINK("も/もく　目痛（目瞑）　1220　鍼灸資生経　王執中_ページ_2.jpg")</f>
        <v>も/もく　目痛（目瞑）　1220　鍼灸資生経　王執中_ページ_2.jpg</v>
      </c>
    </row>
    <row r="5159" spans="1:2" x14ac:dyDescent="0.15">
      <c r="A5159" t="s">
        <v>5132</v>
      </c>
      <c r="B5159" t="str">
        <f>HYPERLINK("も/もく　目瘡の妙灸　1594　経脈方寸秘書　曲直瀬道三.jpg")</f>
        <v>も/もく　目瘡の妙灸　1594　経脈方寸秘書　曲直瀬道三.jpg</v>
      </c>
    </row>
    <row r="5160" spans="1:2" x14ac:dyDescent="0.15">
      <c r="A5160" t="s">
        <v>5133</v>
      </c>
      <c r="B5160" t="str">
        <f>HYPERLINK("も/もく　目白翳　1912年（大正01）　鍼灸手引草　久木田七郎_ページ_1.jpg")</f>
        <v>も/もく　目白翳　1912年（大正01）　鍼灸手引草　久木田七郎_ページ_1.jpg</v>
      </c>
    </row>
    <row r="5161" spans="1:2" x14ac:dyDescent="0.15">
      <c r="A5161" t="s">
        <v>5134</v>
      </c>
      <c r="B5161" t="str">
        <f>HYPERLINK("も/もく　目白翳　1912年（大正01）　鍼灸手引草　久木田七郎_ページ_2.jpg")</f>
        <v>も/もく　目白翳　1912年（大正01）　鍼灸手引草　久木田七郎_ページ_2.jpg</v>
      </c>
    </row>
    <row r="5162" spans="1:2" x14ac:dyDescent="0.15">
      <c r="A5162" t="s">
        <v>5135</v>
      </c>
      <c r="B5162" t="str">
        <f>HYPERLINK("も/もく　目眩　1220　鍼灸資生経　王執中_ページ_1.jpg")</f>
        <v>も/もく　目眩　1220　鍼灸資生経　王執中_ページ_1.jpg</v>
      </c>
    </row>
    <row r="5163" spans="1:2" x14ac:dyDescent="0.15">
      <c r="A5163" t="s">
        <v>5136</v>
      </c>
      <c r="B5163" t="str">
        <f>HYPERLINK("も/もく　目眩　1220　鍼灸資生経　王執中_ページ_2.jpg")</f>
        <v>も/もく　目眩　1220　鍼灸資生経　王執中_ページ_2.jpg</v>
      </c>
    </row>
    <row r="5164" spans="1:2" x14ac:dyDescent="0.15">
      <c r="A5164" t="s">
        <v>5137</v>
      </c>
      <c r="B5164" t="str">
        <f>HYPERLINK("も/もく　目眩　1794　杉山流鍼術　島浦和田一.jpg")</f>
        <v>も/もく　目眩　1794　杉山流鍼術　島浦和田一.jpg</v>
      </c>
    </row>
    <row r="5165" spans="1:2" x14ac:dyDescent="0.15">
      <c r="A5165" t="s">
        <v>5138</v>
      </c>
      <c r="B5165" t="str">
        <f>HYPERLINK("も/もく　目眩　1912年（大正01）　鍼灸手引草　久木田七郎_ページ_1.jpg")</f>
        <v>も/もく　目眩　1912年（大正01）　鍼灸手引草　久木田七郎_ページ_1.jpg</v>
      </c>
    </row>
    <row r="5166" spans="1:2" x14ac:dyDescent="0.15">
      <c r="A5166" t="s">
        <v>5139</v>
      </c>
      <c r="B5166" t="str">
        <f>HYPERLINK("も/もく　目眩　1912年（大正01）　鍼灸手引草　久木田七郎_ページ_2.jpg")</f>
        <v>も/もく　目眩　1912年（大正01）　鍼灸手引草　久木田七郎_ページ_2.jpg</v>
      </c>
    </row>
    <row r="5167" spans="1:2" x14ac:dyDescent="0.15">
      <c r="A5167" t="s">
        <v>5140</v>
      </c>
      <c r="B5167" t="str">
        <f>HYPERLINK("も/もく　目翳膜　1220　鍼灸資生経　王執中_ページ_1.jpg")</f>
        <v>も/もく　目翳膜　1220　鍼灸資生経　王執中_ページ_1.jpg</v>
      </c>
    </row>
    <row r="5168" spans="1:2" x14ac:dyDescent="0.15">
      <c r="A5168" t="s">
        <v>5141</v>
      </c>
      <c r="B5168" t="str">
        <f>HYPERLINK("も/もく　目翳膜　1220　鍼灸資生経　王執中_ページ_2.jpg")</f>
        <v>も/もく　目翳膜　1220　鍼灸資生経　王執中_ページ_2.jpg</v>
      </c>
    </row>
    <row r="5169" spans="1:2" x14ac:dyDescent="0.15">
      <c r="A5169" t="s">
        <v>5142</v>
      </c>
      <c r="B5169" t="str">
        <f>HYPERLINK("も/もく　目腫の妙灸　1594　経脈方寸秘書　曲直瀬道三.jpg")</f>
        <v>も/もく　目腫の妙灸　1594　経脈方寸秘書　曲直瀬道三.jpg</v>
      </c>
    </row>
    <row r="5170" spans="1:2" x14ac:dyDescent="0.15">
      <c r="A5170" t="s">
        <v>5143</v>
      </c>
      <c r="B5170" t="str">
        <f>HYPERLINK("も/もく　目赤　1220　鍼灸資生経　王執中_ページ_1.jpg")</f>
        <v>も/もく　目赤　1220　鍼灸資生経　王執中_ページ_1.jpg</v>
      </c>
    </row>
    <row r="5171" spans="1:2" x14ac:dyDescent="0.15">
      <c r="A5171" t="s">
        <v>5144</v>
      </c>
      <c r="B5171" t="str">
        <f>HYPERLINK("も/もく　目赤　1220　鍼灸資生経　王執中_ページ_2.jpg")</f>
        <v>も/もく　目赤　1220　鍼灸資生経　王執中_ページ_2.jpg</v>
      </c>
    </row>
    <row r="5172" spans="1:2" x14ac:dyDescent="0.15">
      <c r="A5172" t="s">
        <v>5145</v>
      </c>
      <c r="B5172" t="str">
        <f>HYPERLINK("も/もく　目赤　1329　扁鵲神応鍼灸玉龍経　元・王国瑞_ページ_1.jpg")</f>
        <v>も/もく　目赤　1329　扁鵲神応鍼灸玉龍経　元・王国瑞_ページ_1.jpg</v>
      </c>
    </row>
    <row r="5173" spans="1:2" x14ac:dyDescent="0.15">
      <c r="A5173" t="s">
        <v>5146</v>
      </c>
      <c r="B5173" t="str">
        <f>HYPERLINK("も/もく　目赤　1329　扁鵲神応鍼灸玉龍経　元・王国瑞_ページ_2.jpg")</f>
        <v>も/もく　目赤　1329　扁鵲神応鍼灸玉龍経　元・王国瑞_ページ_2.jpg</v>
      </c>
    </row>
    <row r="5174" spans="1:2" x14ac:dyDescent="0.15">
      <c r="A5174" t="s">
        <v>5147</v>
      </c>
      <c r="B5174" t="str">
        <f>HYPERLINK("も/もく　目赤或熱痛之針穴　1613　古今集鍼法　長生庵了味か.jpg")</f>
        <v>も/もく　目赤或熱痛之針穴　1613　古今集鍼法　長生庵了味か.jpg</v>
      </c>
    </row>
    <row r="5175" spans="1:2" x14ac:dyDescent="0.15">
      <c r="A5175" t="s">
        <v>5148</v>
      </c>
      <c r="B5175" t="str">
        <f>HYPERLINK("や/や　夜啼　1607　扁鵲新流鍼書　越齋寿閑.jpg")</f>
        <v>や/や　夜啼　1607　扁鵲新流鍼書　越齋寿閑.jpg</v>
      </c>
    </row>
    <row r="5176" spans="1:2" x14ac:dyDescent="0.15">
      <c r="A5176" t="s">
        <v>5149</v>
      </c>
      <c r="B5176" t="str">
        <f>HYPERLINK("や/や　夜啼　1669　鍼灸枢要　山本玄通.jpg")</f>
        <v>や/や　夜啼　1669　鍼灸枢要　山本玄通.jpg</v>
      </c>
    </row>
    <row r="5177" spans="1:2" x14ac:dyDescent="0.15">
      <c r="A5177" t="s">
        <v>5150</v>
      </c>
      <c r="B5177" t="str">
        <f>HYPERLINK("や/や　夜啼　1693　鍼灸要歌集　安井昌玄.jpg")</f>
        <v>や/や　夜啼　1693　鍼灸要歌集　安井昌玄.jpg</v>
      </c>
    </row>
    <row r="5178" spans="1:2" x14ac:dyDescent="0.15">
      <c r="A5178" t="s">
        <v>5151</v>
      </c>
      <c r="B5178" t="str">
        <f>HYPERLINK("や/や　夜啼　1694　選鍼三要集　杉山和一.jpg")</f>
        <v>や/や　夜啼　1694　選鍼三要集　杉山和一.jpg</v>
      </c>
    </row>
    <row r="5179" spans="1:2" x14ac:dyDescent="0.15">
      <c r="A5179" t="s">
        <v>5152</v>
      </c>
      <c r="B5179" t="str">
        <f>HYPERLINK("や/や　夜啼　1780　小児のよなきに　鍼灸極秘伝　木村太沖.jpg")</f>
        <v>や/や　夜啼　1780　小児のよなきに　鍼灸極秘伝　木村太沖.jpg</v>
      </c>
    </row>
    <row r="5180" spans="1:2" x14ac:dyDescent="0.15">
      <c r="A5180" t="s">
        <v>5153</v>
      </c>
      <c r="B5180" t="str">
        <f>HYPERLINK("や/や　夜啼　1794　杉山流鍼術　島浦和田一.jpg")</f>
        <v>や/や　夜啼　1794　杉山流鍼術　島浦和田一.jpg</v>
      </c>
    </row>
    <row r="5181" spans="1:2" x14ac:dyDescent="0.15">
      <c r="A5181" t="s">
        <v>5154</v>
      </c>
      <c r="B5181" t="str">
        <f>HYPERLINK("や/や　夜啼　1800　鍼灸備要　小坂元祐.jpg")</f>
        <v>や/や　夜啼　1800　鍼灸備要　小坂元祐.jpg</v>
      </c>
    </row>
    <row r="5182" spans="1:2" x14ac:dyDescent="0.15">
      <c r="A5182" t="s">
        <v>5155</v>
      </c>
      <c r="B5182" t="str">
        <f>HYPERLINK("や/や　夜啼　客忤（かくこ）　よなき　1686　鍼灸要法指南　岩田利斎.jpg")</f>
        <v>や/や　夜啼　客忤（かくこ）　よなき　1686　鍼灸要法指南　岩田利斎.jpg</v>
      </c>
    </row>
    <row r="5183" spans="1:2" x14ac:dyDescent="0.15">
      <c r="A5183" t="s">
        <v>5156</v>
      </c>
      <c r="B5183" t="str">
        <f>HYPERLINK("や/や　夜啼客忤　夜啼はよなき客忤はをびゆるなり　1694　療治之大概集　杉山和一.jpg")</f>
        <v>や/や　夜啼客忤　夜啼はよなき客忤はをびゆるなり　1694　療治之大概集　杉山和一.jpg</v>
      </c>
    </row>
    <row r="5184" spans="1:2" x14ac:dyDescent="0.15">
      <c r="A5184" t="s">
        <v>5157</v>
      </c>
      <c r="B5184" t="str">
        <f>HYPERLINK("や/や　夜啼（小児）　1767　鍼灸則　菅沼周桂.jpg")</f>
        <v>や/や　夜啼（小児）　1767　鍼灸則　菅沼周桂.jpg</v>
      </c>
    </row>
    <row r="5185" spans="1:2" x14ac:dyDescent="0.15">
      <c r="A5185" t="s">
        <v>5158</v>
      </c>
      <c r="B5185" t="str">
        <f>HYPERLINK("や/や　夜尿及遺尿　1912年（大正01）　鍼灸手引草　久木田七郎.jpg")</f>
        <v>や/や　夜尿及遺尿　1912年（大正01）　鍼灸手引草　久木田七郎.jpg</v>
      </c>
    </row>
    <row r="5186" spans="1:2" x14ac:dyDescent="0.15">
      <c r="A5186" t="s">
        <v>5159</v>
      </c>
      <c r="B5186" t="str">
        <f>HYPERLINK("や/や　夜魘不寤　1226　備急灸法　宋・聞人耆年.jpg")</f>
        <v>や/や　夜魘不寤　1226　備急灸法　宋・聞人耆年.jpg</v>
      </c>
    </row>
    <row r="5187" spans="1:2" x14ac:dyDescent="0.15">
      <c r="A5187" t="s">
        <v>5160</v>
      </c>
      <c r="B5187" t="str">
        <f>HYPERLINK("ゆ/ゆう　憂悲　哭泣　1912年（大正01）　鍼灸手引草　久木田七郎.jpg")</f>
        <v>ゆ/ゆう　憂悲　哭泣　1912年（大正01）　鍼灸手引草　久木田七郎.jpg</v>
      </c>
    </row>
    <row r="5188" spans="1:2" x14ac:dyDescent="0.15">
      <c r="A5188" t="s">
        <v>5161</v>
      </c>
      <c r="B5188" t="str">
        <f>HYPERLINK("ゆ/ゆう　疣目　1813　名家灸選三編　平井庸信.jpg")</f>
        <v>ゆ/ゆう　疣目　1813　名家灸選三編　平井庸信.jpg</v>
      </c>
    </row>
    <row r="5189" spans="1:2" x14ac:dyDescent="0.15">
      <c r="A5189" t="s">
        <v>5162</v>
      </c>
      <c r="B5189" t="str">
        <f>HYPERLINK("よ/よ　夜しと　1607　扁鵲新流鍼書　越齋寿閑.jpg")</f>
        <v>よ/よ　夜しと　1607　扁鵲新流鍼書　越齋寿閑.jpg</v>
      </c>
    </row>
    <row r="5190" spans="1:2" x14ac:dyDescent="0.15">
      <c r="A5190" t="s">
        <v>5163</v>
      </c>
      <c r="B5190" t="str">
        <f>HYPERLINK("よ/よう　よう瘤　0300　●気有所結発よう瘤　第九　鍼灸甲乙経　皇甫謐.jpg")</f>
        <v>よ/よう　よう瘤　0300　●気有所結発よう瘤　第九　鍼灸甲乙経　皇甫謐.jpg</v>
      </c>
    </row>
    <row r="5191" spans="1:2" x14ac:dyDescent="0.15">
      <c r="A5191" t="s">
        <v>5164</v>
      </c>
      <c r="B5191" t="str">
        <f>HYPERLINK("よ/よう　外科門　瘡瘍　かさはれもの　1718　鍼灸重宝記　本郷正豊_ページ_1.jpg")</f>
        <v>よ/よう　外科門　瘡瘍　かさはれもの　1718　鍼灸重宝記　本郷正豊_ページ_1.jpg</v>
      </c>
    </row>
    <row r="5192" spans="1:2" x14ac:dyDescent="0.15">
      <c r="A5192" t="s">
        <v>5165</v>
      </c>
      <c r="B5192" t="str">
        <f>HYPERLINK("よ/よう　外科門　瘡瘍　かさはれもの　1718　鍼灸重宝記　本郷正豊_ページ_2.jpg")</f>
        <v>よ/よう　外科門　瘡瘍　かさはれもの　1718　鍼灸重宝記　本郷正豊_ページ_2.jpg</v>
      </c>
    </row>
    <row r="5193" spans="1:2" x14ac:dyDescent="0.15">
      <c r="A5193" t="s">
        <v>5166</v>
      </c>
      <c r="B5193" t="str">
        <f>HYPERLINK("よ/よう　妖精著人　1765　鍼法弁惑　藤井秀孟_ページ_1.jpg")</f>
        <v>よ/よう　妖精著人　1765　鍼法弁惑　藤井秀孟_ページ_1.jpg</v>
      </c>
    </row>
    <row r="5194" spans="1:2" x14ac:dyDescent="0.15">
      <c r="A5194" t="s">
        <v>5167</v>
      </c>
      <c r="B5194" t="str">
        <f>HYPERLINK("よ/よう　妖精著人　1765　鍼法弁惑　藤井秀孟_ページ_2.jpg")</f>
        <v>よ/よう　妖精著人　1765　鍼法弁惑　藤井秀孟_ページ_2.jpg</v>
      </c>
    </row>
    <row r="5195" spans="1:2" x14ac:dyDescent="0.15">
      <c r="A5195" t="s">
        <v>5168</v>
      </c>
      <c r="B5195" t="str">
        <f>HYPERLINK("よ/よう　妖精著人　1765　鍼法弁惑　藤井秀孟_ページ_3.jpg")</f>
        <v>よ/よう　妖精著人　1765　鍼法弁惑　藤井秀孟_ページ_3.jpg</v>
      </c>
    </row>
    <row r="5196" spans="1:2" x14ac:dyDescent="0.15">
      <c r="A5196" t="s">
        <v>5169</v>
      </c>
      <c r="B5196" t="str">
        <f>HYPERLINK("よ/よう　妖精著人　1765　鍼法弁惑　藤井秀孟_ページ_4.jpg")</f>
        <v>よ/よう　妖精著人　1765　鍼法弁惑　藤井秀孟_ページ_4.jpg</v>
      </c>
    </row>
    <row r="5197" spans="1:2" x14ac:dyDescent="0.15">
      <c r="A5197" t="s">
        <v>5170</v>
      </c>
      <c r="B5197" t="str">
        <f>HYPERLINK("よ/よう　妖精著人　1765　鍼法弁惑　藤井秀孟_ページ_5.jpg")</f>
        <v>よ/よう　妖精著人　1765　鍼法弁惑　藤井秀孟_ページ_5.jpg</v>
      </c>
    </row>
    <row r="5198" spans="1:2" x14ac:dyDescent="0.15">
      <c r="A5198" t="s">
        <v>5171</v>
      </c>
      <c r="B5198" t="str">
        <f>HYPERLINK("よ/よう　妖精著人　1765　鍼法弁惑　藤井秀孟_ページ_6.jpg")</f>
        <v>よ/よう　妖精著人　1765　鍼法弁惑　藤井秀孟_ページ_6.jpg</v>
      </c>
    </row>
    <row r="5199" spans="1:2" x14ac:dyDescent="0.15">
      <c r="A5199" t="s">
        <v>5172</v>
      </c>
      <c r="B5199" t="str">
        <f>HYPERLINK("よ/よう　妖精著人　1765　鍼法弁惑　藤井秀孟_ページ_7.jpg")</f>
        <v>よ/よう　妖精著人　1765　鍼法弁惑　藤井秀孟_ページ_7.jpg</v>
      </c>
    </row>
    <row r="5200" spans="1:2" x14ac:dyDescent="0.15">
      <c r="A5200" t="s">
        <v>5173</v>
      </c>
      <c r="B5200" t="str">
        <f>HYPERLINK("よ/よう　孕子煩之論　1693　鍼灸要歌集　安井昌玄.jpg")</f>
        <v>よ/よう　孕子煩之論　1693　鍼灸要歌集　安井昌玄.jpg</v>
      </c>
    </row>
    <row r="5201" spans="1:2" x14ac:dyDescent="0.15">
      <c r="A5201" t="s">
        <v>5174</v>
      </c>
      <c r="B5201" t="str">
        <f>HYPERLINK("よ/よう　揚梅瘡　一名天疱瘡　綿花瘡　ばん花瘡　1686　鍼灸要法指南　岩田利斎_ページ_1.jpg")</f>
        <v>よ/よう　揚梅瘡　一名天疱瘡　綿花瘡　ばん花瘡　1686　鍼灸要法指南　岩田利斎_ページ_1.jpg</v>
      </c>
    </row>
    <row r="5202" spans="1:2" x14ac:dyDescent="0.15">
      <c r="A5202" t="s">
        <v>5175</v>
      </c>
      <c r="B5202" t="str">
        <f>HYPERLINK("よ/よう　揚梅瘡　一名天疱瘡　綿花瘡　ばん花瘡　1686　鍼灸要法指南　岩田利斎_ページ_2.jpg")</f>
        <v>よ/よう　揚梅瘡　一名天疱瘡　綿花瘡　ばん花瘡　1686　鍼灸要法指南　岩田利斎_ページ_2.jpg</v>
      </c>
    </row>
    <row r="5203" spans="1:2" x14ac:dyDescent="0.15">
      <c r="A5203" t="s">
        <v>5176</v>
      </c>
      <c r="B5203" t="str">
        <f>HYPERLINK("よ/よう　揺頭　1794　杉山流鍼術　島浦和田一.jpg")</f>
        <v>よ/よう　揺頭　1794　杉山流鍼術　島浦和田一.jpg</v>
      </c>
    </row>
    <row r="5204" spans="1:2" x14ac:dyDescent="0.15">
      <c r="A5204" t="s">
        <v>5177</v>
      </c>
      <c r="B5204" t="str">
        <f>HYPERLINK("よ/よう　瘍しょう（ねぶと）　1773　鍼灸手引草　大簡室主人.jpg")</f>
        <v>よ/よう　瘍しょう（ねぶと）　1773　鍼灸手引草　大簡室主人.jpg</v>
      </c>
    </row>
    <row r="5205" spans="1:2" x14ac:dyDescent="0.15">
      <c r="A5205" t="s">
        <v>5178</v>
      </c>
      <c r="B5205" t="str">
        <f>HYPERLINK("よ/よう　癰　0300　内癰　●邪気聚於下かん発内癰　第八　鍼灸甲乙経　皇甫謐_ページ_1.jpg")</f>
        <v>よ/よう　癰　0300　内癰　●邪気聚於下かん発内癰　第八　鍼灸甲乙経　皇甫謐_ページ_1.jpg</v>
      </c>
    </row>
    <row r="5206" spans="1:2" x14ac:dyDescent="0.15">
      <c r="A5206" t="s">
        <v>5179</v>
      </c>
      <c r="B5206" t="str">
        <f>HYPERLINK("よ/よう　癰　0300　内癰　●邪気聚於下かん発内癰　第八　鍼灸甲乙経　皇甫謐_ページ_2.jpg")</f>
        <v>よ/よう　癰　0300　内癰　●邪気聚於下かん発内癰　第八　鍼灸甲乙経　皇甫謐_ページ_2.jpg</v>
      </c>
    </row>
    <row r="5207" spans="1:2" x14ac:dyDescent="0.15">
      <c r="A5207" t="s">
        <v>5180</v>
      </c>
      <c r="B5207" t="str">
        <f>HYPERLINK("よ/よう　癰　疔　諸悪瘡　1807　続名家灸選　平井庸信_ページ_1.jpg")</f>
        <v>よ/よう　癰　疔　諸悪瘡　1807　続名家灸選　平井庸信_ページ_1.jpg</v>
      </c>
    </row>
    <row r="5208" spans="1:2" x14ac:dyDescent="0.15">
      <c r="A5208" t="s">
        <v>5181</v>
      </c>
      <c r="B5208" t="str">
        <f>HYPERLINK("よ/よう　癰　疔　諸悪瘡　1807　続名家灸選　平井庸信_ページ_2.jpg")</f>
        <v>よ/よう　癰　疔　諸悪瘡　1807　続名家灸選　平井庸信_ページ_2.jpg</v>
      </c>
    </row>
    <row r="5209" spans="1:2" x14ac:dyDescent="0.15">
      <c r="A5209" t="s">
        <v>5182</v>
      </c>
      <c r="B5209" t="str">
        <f>HYPERLINK("よ/よう　癰疽　0300　●寒気客於経絡之中発癰疽風成発厲浸厲　第九下　鍼灸甲乙経　皇甫謐_ページ_1.jpg")</f>
        <v>よ/よう　癰疽　0300　●寒気客於経絡之中発癰疽風成発厲浸厲　第九下　鍼灸甲乙経　皇甫謐_ページ_1.jpg</v>
      </c>
    </row>
    <row r="5210" spans="1:2" x14ac:dyDescent="0.15">
      <c r="A5210" t="s">
        <v>5183</v>
      </c>
      <c r="B5210" t="str">
        <f>HYPERLINK("よ/よう　癰疽　0300　●寒気客於経絡之中発癰疽風成発厲浸厲　第九下　鍼灸甲乙経　皇甫謐_ページ_2.jpg")</f>
        <v>よ/よう　癰疽　0300　●寒気客於経絡之中発癰疽風成発厲浸厲　第九下　鍼灸甲乙経　皇甫謐_ページ_2.jpg</v>
      </c>
    </row>
    <row r="5211" spans="1:2" x14ac:dyDescent="0.15">
      <c r="A5211" t="s">
        <v>5184</v>
      </c>
      <c r="B5211" t="str">
        <f>HYPERLINK("よ/よう　癰疽　0300　●寒気客於経絡之中発癰疽風成発厲浸厲　第九下　鍼灸甲乙経　皇甫謐_ページ_3.jpg")</f>
        <v>よ/よう　癰疽　0300　●寒気客於経絡之中発癰疽風成発厲浸厲　第九下　鍼灸甲乙経　皇甫謐_ページ_3.jpg</v>
      </c>
    </row>
    <row r="5212" spans="1:2" x14ac:dyDescent="0.15">
      <c r="A5212" t="s">
        <v>5185</v>
      </c>
      <c r="B5212" t="str">
        <f>HYPERLINK("よ/よう　癰疽　0300　●寒気客於経絡之中発癰疽風成発厲浸厲　第九下　鍼灸甲乙経　皇甫謐_ページ_4.jpg")</f>
        <v>よ/よう　癰疽　0300　●寒気客於経絡之中発癰疽風成発厲浸厲　第九下　鍼灸甲乙経　皇甫謐_ページ_4.jpg</v>
      </c>
    </row>
    <row r="5213" spans="1:2" x14ac:dyDescent="0.15">
      <c r="A5213" t="s">
        <v>5186</v>
      </c>
      <c r="B5213" t="str">
        <f>HYPERLINK("よ/よう　癰疽　0300　●寒気客於経絡之中発癰疽風成発厲浸厲　第九下　鍼灸甲乙経　皇甫謐_ページ_5.jpg")</f>
        <v>よ/よう　癰疽　0300　●寒気客於経絡之中発癰疽風成発厲浸厲　第九下　鍼灸甲乙経　皇甫謐_ページ_5.jpg</v>
      </c>
    </row>
    <row r="5214" spans="1:2" x14ac:dyDescent="0.15">
      <c r="A5214" t="s">
        <v>5187</v>
      </c>
      <c r="B5214" t="str">
        <f>HYPERLINK("よ/よう　癰疽　0300　●寒気客於経絡之中発癰疽風成発厲浸淫　第九上　鍼灸甲乙経　皇甫謐_ページ_1.jpg")</f>
        <v>よ/よう　癰疽　0300　●寒気客於経絡之中発癰疽風成発厲浸淫　第九上　鍼灸甲乙経　皇甫謐_ページ_1.jpg</v>
      </c>
    </row>
    <row r="5215" spans="1:2" x14ac:dyDescent="0.15">
      <c r="A5215" t="s">
        <v>5188</v>
      </c>
      <c r="B5215" t="str">
        <f>HYPERLINK("よ/よう　癰疽　0300　●寒気客於経絡之中発癰疽風成発厲浸淫　第九上　鍼灸甲乙経　皇甫謐_ページ_2.jpg")</f>
        <v>よ/よう　癰疽　0300　●寒気客於経絡之中発癰疽風成発厲浸淫　第九上　鍼灸甲乙経　皇甫謐_ページ_2.jpg</v>
      </c>
    </row>
    <row r="5216" spans="1:2" x14ac:dyDescent="0.15">
      <c r="A5216" t="s">
        <v>5189</v>
      </c>
      <c r="B5216" t="str">
        <f>HYPERLINK("よ/よう　癰疽　1574　兪穴参伍的法　秦宗巴.jpg")</f>
        <v>よ/よう　癰疽　1574　兪穴参伍的法　秦宗巴.jpg</v>
      </c>
    </row>
    <row r="5217" spans="1:2" x14ac:dyDescent="0.15">
      <c r="A5217" t="s">
        <v>5190</v>
      </c>
      <c r="B5217" t="str">
        <f>HYPERLINK("よ/よう　癰疽　1686　鍼灸要法指南　岩田利斎.jpg")</f>
        <v>よ/よう　癰疽　1686　鍼灸要法指南　岩田利斎.jpg</v>
      </c>
    </row>
    <row r="5218" spans="1:2" x14ac:dyDescent="0.15">
      <c r="A5218" t="s">
        <v>5191</v>
      </c>
      <c r="B5218" t="str">
        <f>HYPERLINK("よ/よう　癰疽　1767　鍼灸則　菅沼周桂_ページ_1.jpg")</f>
        <v>よ/よう　癰疽　1767　鍼灸則　菅沼周桂_ページ_1.jpg</v>
      </c>
    </row>
    <row r="5219" spans="1:2" x14ac:dyDescent="0.15">
      <c r="A5219" t="s">
        <v>5192</v>
      </c>
      <c r="B5219" t="str">
        <f>HYPERLINK("よ/よう　癰疽　1767　鍼灸則　菅沼周桂_ページ_2.jpg")</f>
        <v>よ/よう　癰疽　1767　鍼灸則　菅沼周桂_ページ_2.jpg</v>
      </c>
    </row>
    <row r="5220" spans="1:2" x14ac:dyDescent="0.15">
      <c r="A5220" t="s">
        <v>5193</v>
      </c>
      <c r="B5220" t="str">
        <f>HYPERLINK("よ/よう　癰疽　1773　鍼灸手引草　大簡室主人_ページ_1.jpg")</f>
        <v>よ/よう　癰疽　1773　鍼灸手引草　大簡室主人_ページ_1.jpg</v>
      </c>
    </row>
    <row r="5221" spans="1:2" x14ac:dyDescent="0.15">
      <c r="A5221" t="s">
        <v>5194</v>
      </c>
      <c r="B5221" t="str">
        <f>HYPERLINK("よ/よう　癰疽　1773　鍼灸手引草　大簡室主人_ページ_2.jpg")</f>
        <v>よ/よう　癰疽　1773　鍼灸手引草　大簡室主人_ページ_2.jpg</v>
      </c>
    </row>
    <row r="5222" spans="1:2" x14ac:dyDescent="0.15">
      <c r="A5222" t="s">
        <v>5195</v>
      </c>
      <c r="B5222" t="str">
        <f>HYPERLINK("よ/よう　癰疽　悪瘡　1758　灸ぜつ塩土伝　三宅意安.jpg")</f>
        <v>よ/よう　癰疽　悪瘡　1758　灸ぜつ塩土伝　三宅意安.jpg</v>
      </c>
    </row>
    <row r="5223" spans="1:2" x14ac:dyDescent="0.15">
      <c r="A5223" t="s">
        <v>5196</v>
      </c>
      <c r="B5223" t="str">
        <f>HYPERLINK("よ/よう　癰疽腫毒疔　1792　鍼法要集　源長起_ページ_1.jpg")</f>
        <v>よ/よう　癰疽腫毒疔　1792　鍼法要集　源長起_ページ_1.jpg</v>
      </c>
    </row>
    <row r="5224" spans="1:2" x14ac:dyDescent="0.15">
      <c r="A5224" t="s">
        <v>5197</v>
      </c>
      <c r="B5224" t="str">
        <f>HYPERLINK("よ/よう　癰疽腫毒疔　1792　鍼法要集　源長起_ページ_2.jpg")</f>
        <v>よ/よう　癰疽腫毒疔　1792　鍼法要集　源長起_ページ_2.jpg</v>
      </c>
    </row>
    <row r="5225" spans="1:2" x14ac:dyDescent="0.15">
      <c r="A5225" t="s">
        <v>5198</v>
      </c>
      <c r="B5225" t="str">
        <f>HYPERLINK("よ/よう　癰疽腫毒疔　1792　鍼法要集　源長起_ページ_3.jpg")</f>
        <v>よ/よう　癰疽腫毒疔　1792　鍼法要集　源長起_ページ_3.jpg</v>
      </c>
    </row>
    <row r="5226" spans="1:2" x14ac:dyDescent="0.15">
      <c r="A5226" t="s">
        <v>5199</v>
      </c>
      <c r="B5226" t="str">
        <f>HYPERLINK("よ/よう　癰癇　1758　灸ぜつ塩土伝　三宅意安.jpg")</f>
        <v>よ/よう　癰癇　1758　灸ぜつ塩土伝　三宅意安.jpg</v>
      </c>
    </row>
    <row r="5227" spans="1:2" x14ac:dyDescent="0.15">
      <c r="A5227" t="s">
        <v>5200</v>
      </c>
      <c r="B5227" t="str">
        <f>HYPERLINK("よ/よう　発背癰疽初起未破灸法　1807　続名家灸選　平井庸信.jpg")</f>
        <v>よ/よう　発背癰疽初起未破灸法　1807　続名家灸選　平井庸信.jpg</v>
      </c>
    </row>
    <row r="5228" spans="1:2" x14ac:dyDescent="0.15">
      <c r="A5228" t="s">
        <v>5201</v>
      </c>
      <c r="B5228" t="str">
        <f>HYPERLINK("よ/よう　腰　1669　鍼灸枢要　山本玄通_ページ_01.jpg")</f>
        <v>よ/よう　腰　1669　鍼灸枢要　山本玄通_ページ_01.jpg</v>
      </c>
    </row>
    <row r="5229" spans="1:2" x14ac:dyDescent="0.15">
      <c r="A5229" t="s">
        <v>5202</v>
      </c>
      <c r="B5229" t="str">
        <f>HYPERLINK("よ/よう　腰　1669　鍼灸枢要　山本玄通_ページ_02.jpg")</f>
        <v>よ/よう　腰　1669　鍼灸枢要　山本玄通_ページ_02.jpg</v>
      </c>
    </row>
    <row r="5230" spans="1:2" x14ac:dyDescent="0.15">
      <c r="A5230" t="s">
        <v>5203</v>
      </c>
      <c r="B5230" t="str">
        <f>HYPERLINK("よ/よう　腰　1669　鍼灸枢要　山本玄通_ページ_03.jpg")</f>
        <v>よ/よう　腰　1669　鍼灸枢要　山本玄通_ページ_03.jpg</v>
      </c>
    </row>
    <row r="5231" spans="1:2" x14ac:dyDescent="0.15">
      <c r="A5231" t="s">
        <v>5204</v>
      </c>
      <c r="B5231" t="str">
        <f>HYPERLINK("よ/よう　腰　1669　鍼灸枢要　山本玄通_ページ_04.jpg")</f>
        <v>よ/よう　腰　1669　鍼灸枢要　山本玄通_ページ_04.jpg</v>
      </c>
    </row>
    <row r="5232" spans="1:2" x14ac:dyDescent="0.15">
      <c r="A5232" t="s">
        <v>5205</v>
      </c>
      <c r="B5232" t="str">
        <f>HYPERLINK("よ/よう　腰　1669　鍼灸枢要　山本玄通_ページ_05.jpg")</f>
        <v>よ/よう　腰　1669　鍼灸枢要　山本玄通_ページ_05.jpg</v>
      </c>
    </row>
    <row r="5233" spans="1:2" x14ac:dyDescent="0.15">
      <c r="A5233" t="s">
        <v>5206</v>
      </c>
      <c r="B5233" t="str">
        <f>HYPERLINK("よ/よう　腰　1669　鍼灸枢要　山本玄通_ページ_06.jpg")</f>
        <v>よ/よう　腰　1669　鍼灸枢要　山本玄通_ページ_06.jpg</v>
      </c>
    </row>
    <row r="5234" spans="1:2" x14ac:dyDescent="0.15">
      <c r="A5234" t="s">
        <v>5207</v>
      </c>
      <c r="B5234" t="str">
        <f>HYPERLINK("よ/よう　腰　1669　鍼灸枢要　山本玄通_ページ_07.jpg")</f>
        <v>よ/よう　腰　1669　鍼灸枢要　山本玄通_ページ_07.jpg</v>
      </c>
    </row>
    <row r="5235" spans="1:2" x14ac:dyDescent="0.15">
      <c r="A5235" t="s">
        <v>5208</v>
      </c>
      <c r="B5235" t="str">
        <f>HYPERLINK("よ/よう　腰　1669　鍼灸枢要　山本玄通_ページ_08.jpg")</f>
        <v>よ/よう　腰　1669　鍼灸枢要　山本玄通_ページ_08.jpg</v>
      </c>
    </row>
    <row r="5236" spans="1:2" x14ac:dyDescent="0.15">
      <c r="A5236" t="s">
        <v>5209</v>
      </c>
      <c r="B5236" t="str">
        <f>HYPERLINK("よ/よう　腰　1669　鍼灸枢要　山本玄通_ページ_09.jpg")</f>
        <v>よ/よう　腰　1669　鍼灸枢要　山本玄通_ページ_09.jpg</v>
      </c>
    </row>
    <row r="5237" spans="1:2" x14ac:dyDescent="0.15">
      <c r="A5237" t="s">
        <v>5210</v>
      </c>
      <c r="B5237" t="str">
        <f>HYPERLINK("よ/よう　腰　1669　鍼灸枢要　山本玄通_ページ_10.jpg")</f>
        <v>よ/よう　腰　1669　鍼灸枢要　山本玄通_ページ_10.jpg</v>
      </c>
    </row>
    <row r="5238" spans="1:2" x14ac:dyDescent="0.15">
      <c r="A5238" t="s">
        <v>5211</v>
      </c>
      <c r="B5238" t="str">
        <f>HYPERLINK("よ/よう　腰　1800　鍼灸備要　小坂元祐_ページ_1.jpg")</f>
        <v>よ/よう　腰　1800　鍼灸備要　小坂元祐_ページ_1.jpg</v>
      </c>
    </row>
    <row r="5239" spans="1:2" x14ac:dyDescent="0.15">
      <c r="A5239" t="s">
        <v>5212</v>
      </c>
      <c r="B5239" t="str">
        <f>HYPERLINK("よ/よう　腰　1800　鍼灸備要　小坂元祐_ページ_2.jpg")</f>
        <v>よ/よう　腰　1800　鍼灸備要　小坂元祐_ページ_2.jpg</v>
      </c>
    </row>
    <row r="5240" spans="1:2" x14ac:dyDescent="0.15">
      <c r="A5240" t="s">
        <v>5213</v>
      </c>
      <c r="B5240" t="str">
        <f>HYPERLINK("よ/よう　腰　1800　鍼灸備要　小坂元祐_ページ_3.jpg")</f>
        <v>よ/よう　腰　1800　鍼灸備要　小坂元祐_ページ_3.jpg</v>
      </c>
    </row>
    <row r="5241" spans="1:2" x14ac:dyDescent="0.15">
      <c r="A5241" t="s">
        <v>5214</v>
      </c>
      <c r="B5241" t="str">
        <f>HYPERLINK("よ/よう　腰気　こしけ　1607　扁鵲新流鍼書　越齋寿閑_ページ_1.jpg")</f>
        <v>よ/よう　腰気　こしけ　1607　扁鵲新流鍼書　越齋寿閑_ページ_1.jpg</v>
      </c>
    </row>
    <row r="5242" spans="1:2" x14ac:dyDescent="0.15">
      <c r="A5242" t="s">
        <v>5215</v>
      </c>
      <c r="B5242" t="str">
        <f>HYPERLINK("よ/よう　腰気　こしけ　1607　扁鵲新流鍼書　越齋寿閑_ページ_2.jpg")</f>
        <v>よ/よう　腰気　こしけ　1607　扁鵲新流鍼書　越齋寿閑_ページ_2.jpg</v>
      </c>
    </row>
    <row r="5243" spans="1:2" x14ac:dyDescent="0.15">
      <c r="A5243" t="s">
        <v>5216</v>
      </c>
      <c r="B5243" t="str">
        <f>HYPERLINK("よ/よう　腰痛　1220　鍼灸資生経　王執中_ページ_1.jpg")</f>
        <v>よ/よう　腰痛　1220　鍼灸資生経　王執中_ページ_1.jpg</v>
      </c>
    </row>
    <row r="5244" spans="1:2" x14ac:dyDescent="0.15">
      <c r="A5244" t="s">
        <v>5217</v>
      </c>
      <c r="B5244" t="str">
        <f>HYPERLINK("よ/よう　腰痛　1220　鍼灸資生経　王執中_ページ_2.jpg")</f>
        <v>よ/よう　腰痛　1220　鍼灸資生経　王執中_ページ_2.jpg</v>
      </c>
    </row>
    <row r="5245" spans="1:2" x14ac:dyDescent="0.15">
      <c r="A5245" t="s">
        <v>5218</v>
      </c>
      <c r="B5245" t="str">
        <f>HYPERLINK("よ/よう　腰痛　1220　鍼灸資生経　王執中_ページ_3.jpg")</f>
        <v>よ/よう　腰痛　1220　鍼灸資生経　王執中_ページ_3.jpg</v>
      </c>
    </row>
    <row r="5246" spans="1:2" x14ac:dyDescent="0.15">
      <c r="A5246" t="s">
        <v>5219</v>
      </c>
      <c r="B5246" t="str">
        <f>HYPERLINK("よ/よう　腰痛　1537　鍼灸聚英　明・高武.jpg")</f>
        <v>よ/よう　腰痛　1537　鍼灸聚英　明・高武.jpg</v>
      </c>
    </row>
    <row r="5247" spans="1:2" x14ac:dyDescent="0.15">
      <c r="A5247" t="s">
        <v>5220</v>
      </c>
      <c r="B5247" t="str">
        <f>HYPERLINK("よ/よう　腰痛　1563　鍼灸集要　曲直瀬道三.jpg")</f>
        <v>よ/よう　腰痛　1563　鍼灸集要　曲直瀬道三.jpg</v>
      </c>
    </row>
    <row r="5248" spans="1:2" x14ac:dyDescent="0.15">
      <c r="A5248" t="s">
        <v>5221</v>
      </c>
      <c r="B5248" t="str">
        <f>HYPERLINK("よ/よう　腰痛　1680　鍼灸抜萃　著者未詳.jpg")</f>
        <v>よ/よう　腰痛　1680　鍼灸抜萃　著者未詳.jpg</v>
      </c>
    </row>
    <row r="5249" spans="1:2" x14ac:dyDescent="0.15">
      <c r="A5249" t="s">
        <v>5222</v>
      </c>
      <c r="B5249" t="str">
        <f>HYPERLINK("よ/よう　腰痛　1686　鍼灸要法指南　岩田利斎.jpg")</f>
        <v>よ/よう　腰痛　1686　鍼灸要法指南　岩田利斎.jpg</v>
      </c>
    </row>
    <row r="5250" spans="1:2" x14ac:dyDescent="0.15">
      <c r="A5250" t="s">
        <v>5223</v>
      </c>
      <c r="B5250" t="str">
        <f>HYPERLINK("よ/よう　腰痛　1693　鍼灸要歌集　安井昌玄_ページ_1.jpg")</f>
        <v>よ/よう　腰痛　1693　鍼灸要歌集　安井昌玄_ページ_1.jpg</v>
      </c>
    </row>
    <row r="5251" spans="1:2" x14ac:dyDescent="0.15">
      <c r="A5251" t="s">
        <v>5224</v>
      </c>
      <c r="B5251" t="str">
        <f>HYPERLINK("よ/よう　腰痛　1693　鍼灸要歌集　安井昌玄_ページ_2.jpg")</f>
        <v>よ/よう　腰痛　1693　鍼灸要歌集　安井昌玄_ページ_2.jpg</v>
      </c>
    </row>
    <row r="5252" spans="1:2" x14ac:dyDescent="0.15">
      <c r="A5252" t="s">
        <v>5225</v>
      </c>
      <c r="B5252" t="str">
        <f>HYPERLINK("よ/よう　腰痛　1693　鍼灸要歌集　安井昌玄_ページ_3.jpg")</f>
        <v>よ/よう　腰痛　1693　鍼灸要歌集　安井昌玄_ページ_3.jpg</v>
      </c>
    </row>
    <row r="5253" spans="1:2" x14ac:dyDescent="0.15">
      <c r="A5253" t="s">
        <v>5226</v>
      </c>
      <c r="B5253" t="str">
        <f>HYPERLINK("よ/よう　腰痛　1694　鍼灸そかい集　高津敬節.jpg")</f>
        <v>よ/よう　腰痛　1694　鍼灸そかい集　高津敬節.jpg</v>
      </c>
    </row>
    <row r="5254" spans="1:2" x14ac:dyDescent="0.15">
      <c r="A5254" t="s">
        <v>5227</v>
      </c>
      <c r="B5254" t="str">
        <f>HYPERLINK("よ/よう　腰痛　1696　広益鍼灸抜萃　著者未詳_ページ_1.jpg")</f>
        <v>よ/よう　腰痛　1696　広益鍼灸抜萃　著者未詳_ページ_1.jpg</v>
      </c>
    </row>
    <row r="5255" spans="1:2" x14ac:dyDescent="0.15">
      <c r="A5255" t="s">
        <v>5228</v>
      </c>
      <c r="B5255" t="str">
        <f>HYPERLINK("よ/よう　腰痛　1696　広益鍼灸抜萃　著者未詳_ページ_2.jpg")</f>
        <v>よ/よう　腰痛　1696　広益鍼灸抜萃　著者未詳_ページ_2.jpg</v>
      </c>
    </row>
    <row r="5256" spans="1:2" x14ac:dyDescent="0.15">
      <c r="A5256" t="s">
        <v>5229</v>
      </c>
      <c r="B5256" t="str">
        <f>HYPERLINK("よ/よう　腰痛　1698　鍼灸抜粋大成　岡本一抱_ページ_1.jpg")</f>
        <v>よ/よう　腰痛　1698　鍼灸抜粋大成　岡本一抱_ページ_1.jpg</v>
      </c>
    </row>
    <row r="5257" spans="1:2" x14ac:dyDescent="0.15">
      <c r="A5257" t="s">
        <v>5230</v>
      </c>
      <c r="B5257" t="str">
        <f>HYPERLINK("よ/よう　腰痛　1698　鍼灸抜粋大成　岡本一抱_ページ_2.jpg")</f>
        <v>よ/よう　腰痛　1698　鍼灸抜粋大成　岡本一抱_ページ_2.jpg</v>
      </c>
    </row>
    <row r="5258" spans="1:2" x14ac:dyDescent="0.15">
      <c r="A5258" t="s">
        <v>5231</v>
      </c>
      <c r="B5258" t="str">
        <f>HYPERLINK("よ/よう　腰痛　1767　鍼灸則　菅沼周桂_ページ_1.jpg")</f>
        <v>よ/よう　腰痛　1767　鍼灸則　菅沼周桂_ページ_1.jpg</v>
      </c>
    </row>
    <row r="5259" spans="1:2" x14ac:dyDescent="0.15">
      <c r="A5259" t="s">
        <v>5232</v>
      </c>
      <c r="B5259" t="str">
        <f>HYPERLINK("よ/よう　腰痛　1767　鍼灸則　菅沼周桂_ページ_2.jpg")</f>
        <v>よ/よう　腰痛　1767　鍼灸則　菅沼周桂_ページ_2.jpg</v>
      </c>
    </row>
    <row r="5260" spans="1:2" x14ac:dyDescent="0.15">
      <c r="A5260" t="s">
        <v>5233</v>
      </c>
      <c r="B5260" t="str">
        <f>HYPERLINK("よ/よう　腰痛　1773　鍼灸手引草　大簡室主人.jpg")</f>
        <v>よ/よう　腰痛　1773　鍼灸手引草　大簡室主人.jpg</v>
      </c>
    </row>
    <row r="5261" spans="1:2" x14ac:dyDescent="0.15">
      <c r="A5261" t="s">
        <v>5234</v>
      </c>
      <c r="B5261" t="str">
        <f>HYPERLINK("よ/よう　腰痛　1785　鍼書　本城義軒.jpg")</f>
        <v>よ/よう　腰痛　1785　鍼書　本城義軒.jpg</v>
      </c>
    </row>
    <row r="5262" spans="1:2" x14ac:dyDescent="0.15">
      <c r="A5262" t="s">
        <v>5235</v>
      </c>
      <c r="B5262" t="str">
        <f>HYPERLINK("よ/よう　腰痛　1792　鍼法要集　源長起_ページ_1.jpg")</f>
        <v>よ/よう　腰痛　1792　鍼法要集　源長起_ページ_1.jpg</v>
      </c>
    </row>
    <row r="5263" spans="1:2" x14ac:dyDescent="0.15">
      <c r="A5263" t="s">
        <v>5236</v>
      </c>
      <c r="B5263" t="str">
        <f>HYPERLINK("よ/よう　腰痛　1792　鍼法要集　源長起_ページ_2.jpg")</f>
        <v>よ/よう　腰痛　1792　鍼法要集　源長起_ページ_2.jpg</v>
      </c>
    </row>
    <row r="5264" spans="1:2" x14ac:dyDescent="0.15">
      <c r="A5264" t="s">
        <v>5237</v>
      </c>
      <c r="B5264" t="str">
        <f>HYPERLINK("よ/よう　腰痛　1807　続名家灸選　平井庸信_ページ_1.jpg")</f>
        <v>よ/よう　腰痛　1807　続名家灸選　平井庸信_ページ_1.jpg</v>
      </c>
    </row>
    <row r="5265" spans="1:2" x14ac:dyDescent="0.15">
      <c r="A5265" t="s">
        <v>5238</v>
      </c>
      <c r="B5265" t="str">
        <f>HYPERLINK("よ/よう　腰痛　1807　続名家灸選　平井庸信_ページ_2.jpg")</f>
        <v>よ/よう　腰痛　1807　続名家灸選　平井庸信_ページ_2.jpg</v>
      </c>
    </row>
    <row r="5266" spans="1:2" x14ac:dyDescent="0.15">
      <c r="A5266" t="s">
        <v>5239</v>
      </c>
      <c r="B5266" t="str">
        <f>HYPERLINK("よ/よう　腰痛　1813　名家灸選三編　平井庸信_ページ_1.jpg")</f>
        <v>よ/よう　腰痛　1813　名家灸選三編　平井庸信_ページ_1.jpg</v>
      </c>
    </row>
    <row r="5267" spans="1:2" x14ac:dyDescent="0.15">
      <c r="A5267" t="s">
        <v>5240</v>
      </c>
      <c r="B5267" t="str">
        <f>HYPERLINK("よ/よう　腰痛　1813　名家灸選三編　平井庸信_ページ_2.jpg")</f>
        <v>よ/よう　腰痛　1813　名家灸選三編　平井庸信_ページ_2.jpg</v>
      </c>
    </row>
    <row r="5268" spans="1:2" x14ac:dyDescent="0.15">
      <c r="A5268" t="s">
        <v>5241</v>
      </c>
      <c r="B5268" t="str">
        <f>HYPERLINK("よ/よう　腰痛　こしのいたみ　1718　鍼灸重宝記　本郷正豊_ページ_1.jpg")</f>
        <v>よ/よう　腰痛　こしのいたみ　1718　鍼灸重宝記　本郷正豊_ページ_1.jpg</v>
      </c>
    </row>
    <row r="5269" spans="1:2" x14ac:dyDescent="0.15">
      <c r="A5269" t="s">
        <v>5242</v>
      </c>
      <c r="B5269" t="str">
        <f>HYPERLINK("よ/よう　腰痛　こしのいたみ　1718　鍼灸重宝記　本郷正豊_ページ_2.jpg")</f>
        <v>よ/よう　腰痛　こしのいたみ　1718　鍼灸重宝記　本郷正豊_ページ_2.jpg</v>
      </c>
    </row>
    <row r="5270" spans="1:2" x14ac:dyDescent="0.15">
      <c r="A5270" t="s">
        <v>5243</v>
      </c>
      <c r="B5270" t="str">
        <f>HYPERLINK("よ/よう　腰痛　こしのいたみ　1780　鍼灸極秘伝　木村太沖.jpg")</f>
        <v>よ/よう　腰痛　こしのいたみ　1780　鍼灸極秘伝　木村太沖.jpg</v>
      </c>
    </row>
    <row r="5271" spans="1:2" x14ac:dyDescent="0.15">
      <c r="A5271" t="s">
        <v>5244</v>
      </c>
      <c r="B5271" t="str">
        <f>HYPERLINK("よ/よう　腰痛　こしのいたむ事　1694　療治之大概集　杉山和一.jpg")</f>
        <v>よ/よう　腰痛　こしのいたむ事　1694　療治之大概集　杉山和一.jpg</v>
      </c>
    </row>
    <row r="5272" spans="1:2" x14ac:dyDescent="0.15">
      <c r="A5272" t="s">
        <v>5245</v>
      </c>
      <c r="B5272" t="str">
        <f>HYPERLINK("よ/よう　腰痛　こしのいたむ病　腰神経痛　1887（明治20）　鍼灸備要　青山道醇.jpg")</f>
        <v>よ/よう　腰痛　こしのいたむ病　腰神経痛　1887（明治20）　鍼灸備要　青山道醇.jpg</v>
      </c>
    </row>
    <row r="5273" spans="1:2" x14ac:dyDescent="0.15">
      <c r="A5273" t="s">
        <v>5246</v>
      </c>
      <c r="B5273" t="str">
        <f>HYPERLINK("よ/よう　腰痛　せんきのこしのいたみ　1780　鍼灸極秘伝　木村太沖.jpg")</f>
        <v>よ/よう　腰痛　せんきのこしのいたみ　1780　鍼灸極秘伝　木村太沖.jpg</v>
      </c>
    </row>
    <row r="5274" spans="1:2" x14ac:dyDescent="0.15">
      <c r="A5274" t="s">
        <v>5247</v>
      </c>
      <c r="B5274" t="str">
        <f>HYPERLINK("よ/よう　腰痛　成書年未詳　灸穴集　著者未詳_ページ_1.jpg")</f>
        <v>よ/よう　腰痛　成書年未詳　灸穴集　著者未詳_ページ_1.jpg</v>
      </c>
    </row>
    <row r="5275" spans="1:2" x14ac:dyDescent="0.15">
      <c r="A5275" t="s">
        <v>5248</v>
      </c>
      <c r="B5275" t="str">
        <f>HYPERLINK("よ/よう　腰痛　成書年未詳　灸穴集　著者未詳_ページ_2.jpg")</f>
        <v>よ/よう　腰痛　成書年未詳　灸穴集　著者未詳_ページ_2.jpg</v>
      </c>
    </row>
    <row r="5276" spans="1:2" x14ac:dyDescent="0.15">
      <c r="A5276" t="s">
        <v>5249</v>
      </c>
      <c r="B5276" t="str">
        <f>HYPERLINK("よ/よう　腰痛　成書年未詳　灸穴集　著者未詳_ページ_3.jpg")</f>
        <v>よ/よう　腰痛　成書年未詳　灸穴集　著者未詳_ページ_3.jpg</v>
      </c>
    </row>
    <row r="5277" spans="1:2" x14ac:dyDescent="0.15">
      <c r="A5277" t="s">
        <v>5250</v>
      </c>
      <c r="B5277" t="str">
        <f>HYPERLINK("よ/よう　腰痛　成書年未詳　灸穴集　著者未詳_ページ_4.jpg")</f>
        <v>よ/よう　腰痛　成書年未詳　灸穴集　著者未詳_ページ_4.jpg</v>
      </c>
    </row>
    <row r="5278" spans="1:2" x14ac:dyDescent="0.15">
      <c r="A5278" t="s">
        <v>5251</v>
      </c>
      <c r="B5278" t="str">
        <f>HYPERLINK("よ/よう　腰痛　成書年未詳　灸穴集　著者未詳_ページ_5.jpg")</f>
        <v>よ/よう　腰痛　成書年未詳　灸穴集　著者未詳_ページ_5.jpg</v>
      </c>
    </row>
    <row r="5279" spans="1:2" x14ac:dyDescent="0.15">
      <c r="A5279" t="s">
        <v>5252</v>
      </c>
      <c r="B5279" t="str">
        <f>HYPERLINK("よ/よう　腰痛　成書年未詳　経穴図解　著者未詳.jpg")</f>
        <v>よ/よう　腰痛　成書年未詳　経穴図解　著者未詳.jpg</v>
      </c>
    </row>
    <row r="5280" spans="1:2" x14ac:dyDescent="0.15">
      <c r="A5280" t="s">
        <v>5253</v>
      </c>
      <c r="B5280" t="str">
        <f>HYPERLINK("よ/よう　腰痛　玉機微義針灸証治　1537　鍼灸聚英　明・高武.jpg")</f>
        <v>よ/よう　腰痛　玉機微義針灸証治　1537　鍼灸聚英　明・高武.jpg</v>
      </c>
    </row>
    <row r="5281" spans="1:2" x14ac:dyDescent="0.15">
      <c r="A5281" t="s">
        <v>5254</v>
      </c>
      <c r="B5281" t="str">
        <f>HYPERLINK("よ/よう　腰痛筋攣秘灸　1594　経脈方寸秘書　曲直瀬道三.jpg")</f>
        <v>よ/よう　腰痛筋攣秘灸　1594　経脈方寸秘書　曲直瀬道三.jpg</v>
      </c>
    </row>
    <row r="5282" spans="1:2" x14ac:dyDescent="0.15">
      <c r="A5282" t="s">
        <v>5255</v>
      </c>
      <c r="B5282" t="str">
        <f>HYPERLINK("よ/よう　腰痛（婦人の部）　1773　鍼灸手引草　大簡室主人_ページ_1.jpg")</f>
        <v>よ/よう　腰痛（婦人の部）　1773　鍼灸手引草　大簡室主人_ページ_1.jpg</v>
      </c>
    </row>
    <row r="5283" spans="1:2" x14ac:dyDescent="0.15">
      <c r="A5283" t="s">
        <v>5256</v>
      </c>
      <c r="B5283" t="str">
        <f>HYPERLINK("よ/よう　腰痛（婦人の部）　1773　鍼灸手引草　大簡室主人_ページ_2.jpg")</f>
        <v>よ/よう　腰痛（婦人の部）　1773　鍼灸手引草　大簡室主人_ページ_2.jpg</v>
      </c>
    </row>
    <row r="5284" spans="1:2" x14ac:dyDescent="0.15">
      <c r="A5284" t="s">
        <v>5257</v>
      </c>
      <c r="B5284" t="str">
        <f>HYPERLINK("よ/よう　腰脇之病　1792　鍼法要集　源長起.jpg")</f>
        <v>よ/よう　腰脇之病　1792　鍼法要集　源長起.jpg</v>
      </c>
    </row>
    <row r="5285" spans="1:2" x14ac:dyDescent="0.15">
      <c r="A5285" t="s">
        <v>5258</v>
      </c>
      <c r="B5285" t="str">
        <f>HYPERLINK("よ/よう　腰脊強痛　1329　扁鵲神応鍼灸玉龍経　元・王国瑞_ページ_1.jpg")</f>
        <v>よ/よう　腰脊強痛　1329　扁鵲神応鍼灸玉龍経　元・王国瑞_ページ_1.jpg</v>
      </c>
    </row>
    <row r="5286" spans="1:2" x14ac:dyDescent="0.15">
      <c r="A5286" t="s">
        <v>5259</v>
      </c>
      <c r="B5286" t="str">
        <f>HYPERLINK("よ/よう　腰脊強痛　1329　扁鵲神応鍼灸玉龍経　元・王国瑞_ページ_2.jpg")</f>
        <v>よ/よう　腰脊強痛　1329　扁鵲神応鍼灸玉龍経　元・王国瑞_ページ_2.jpg</v>
      </c>
    </row>
    <row r="5287" spans="1:2" x14ac:dyDescent="0.15">
      <c r="A5287" t="s">
        <v>5260</v>
      </c>
      <c r="B5287" t="str">
        <f>HYPERLINK("よ/よう　腰脊病　0650　千金方　孫思ばく_ページ_1.jpg")</f>
        <v>よ/よう　腰脊病　0650　千金方　孫思ばく_ページ_1.jpg</v>
      </c>
    </row>
    <row r="5288" spans="1:2" x14ac:dyDescent="0.15">
      <c r="A5288" t="s">
        <v>5261</v>
      </c>
      <c r="B5288" t="str">
        <f>HYPERLINK("よ/よう　腰脊病　0650　千金方　孫思ばく_ページ_2.jpg")</f>
        <v>よ/よう　腰脊病　0650　千金方　孫思ばく_ページ_2.jpg</v>
      </c>
    </row>
    <row r="5289" spans="1:2" x14ac:dyDescent="0.15">
      <c r="A5289" t="s">
        <v>5262</v>
      </c>
      <c r="B5289" t="str">
        <f>HYPERLINK("よ/よう　腰脊痛　1220　鍼灸資生経　王執中_ページ_1.jpg")</f>
        <v>よ/よう　腰脊痛　1220　鍼灸資生経　王執中_ページ_1.jpg</v>
      </c>
    </row>
    <row r="5290" spans="1:2" x14ac:dyDescent="0.15">
      <c r="A5290" t="s">
        <v>5263</v>
      </c>
      <c r="B5290" t="str">
        <f>HYPERLINK("よ/よう　腰脊痛　1220　鍼灸資生経　王執中_ページ_2.jpg")</f>
        <v>よ/よう　腰脊痛　1220　鍼灸資生経　王執中_ページ_2.jpg</v>
      </c>
    </row>
    <row r="5291" spans="1:2" x14ac:dyDescent="0.15">
      <c r="A5291" t="s">
        <v>5264</v>
      </c>
      <c r="B5291" t="str">
        <f>HYPERLINK("よ/よう　腰脊痛　1574　兪穴参伍的法　秦宗巴.jpg")</f>
        <v>よ/よう　腰脊痛　1574　兪穴参伍的法　秦宗巴.jpg</v>
      </c>
    </row>
    <row r="5292" spans="1:2" x14ac:dyDescent="0.15">
      <c r="A5292" t="s">
        <v>5265</v>
      </c>
      <c r="B5292" t="str">
        <f>HYPERLINK("よ/よう　腰脚痛　1220　鍼灸資生経　王執中_ページ_1.jpg")</f>
        <v>よ/よう　腰脚痛　1220　鍼灸資生経　王執中_ページ_1.jpg</v>
      </c>
    </row>
    <row r="5293" spans="1:2" x14ac:dyDescent="0.15">
      <c r="A5293" t="s">
        <v>5266</v>
      </c>
      <c r="B5293" t="str">
        <f>HYPERLINK("よ/よう　腰脚痛　1220　鍼灸資生経　王執中_ページ_2.jpg")</f>
        <v>よ/よう　腰脚痛　1220　鍼灸資生経　王執中_ページ_2.jpg</v>
      </c>
    </row>
    <row r="5294" spans="1:2" x14ac:dyDescent="0.15">
      <c r="A5294" t="s">
        <v>5267</v>
      </c>
      <c r="B5294" t="str">
        <f>HYPERLINK("よ/よう　腰脚痛　1912年（大正01）　鍼灸手引草　久木田七郎.jpg")</f>
        <v>よ/よう　腰脚痛　1912年（大正01）　鍼灸手引草　久木田七郎.jpg</v>
      </c>
    </row>
    <row r="5295" spans="1:2" x14ac:dyDescent="0.15">
      <c r="A5295" t="s">
        <v>5268</v>
      </c>
      <c r="B5295" t="str">
        <f>HYPERLINK("よ/よう　腰膝冷痺　1299　続添要穴集　惟宗時俊_ページ_1.jpg")</f>
        <v>よ/よう　腰膝冷痺　1299　続添要穴集　惟宗時俊_ページ_1.jpg</v>
      </c>
    </row>
    <row r="5296" spans="1:2" x14ac:dyDescent="0.15">
      <c r="A5296" t="s">
        <v>5269</v>
      </c>
      <c r="B5296" t="str">
        <f>HYPERLINK("よ/よう　腰膝冷痺　1299　続添要穴集　惟宗時俊_ページ_2.jpg")</f>
        <v>よ/よう　腰膝冷痺　1299　続添要穴集　惟宗時俊_ページ_2.jpg</v>
      </c>
    </row>
    <row r="5297" spans="1:2" x14ac:dyDescent="0.15">
      <c r="A5297" t="s">
        <v>5270</v>
      </c>
      <c r="B5297" t="str">
        <f>HYPERLINK("よ/よう　腰膝痛或脚気之針穴　1613　古今集鍼法　長生庵了味か_ページ_1.jpg")</f>
        <v>よ/よう　腰膝痛或脚気之針穴　1613　古今集鍼法　長生庵了味か_ページ_1.jpg</v>
      </c>
    </row>
    <row r="5298" spans="1:2" x14ac:dyDescent="0.15">
      <c r="A5298" t="s">
        <v>5271</v>
      </c>
      <c r="B5298" t="str">
        <f>HYPERLINK("よ/よう　腰膝痛或脚気之針穴　1613　古今集鍼法　長生庵了味か_ページ_2.jpg")</f>
        <v>よ/よう　腰膝痛或脚気之針穴　1613　古今集鍼法　長生庵了味か_ページ_2.jpg</v>
      </c>
    </row>
    <row r="5299" spans="1:2" x14ac:dyDescent="0.15">
      <c r="A5299" t="s">
        <v>5272</v>
      </c>
      <c r="B5299" t="str">
        <f>HYPERLINK("よ/よう　膺痛　1220　鍼灸資生経　王執中.jpg")</f>
        <v>よ/よう　膺痛　1220　鍼灸資生経　王執中.jpg</v>
      </c>
    </row>
    <row r="5300" spans="1:2" x14ac:dyDescent="0.15">
      <c r="A5300" t="s">
        <v>5273</v>
      </c>
      <c r="B5300" t="str">
        <f>HYPERLINK("よ/よう　蒜灸癰疽　1224　医説　宋・張杲_ページ_1.jpg")</f>
        <v>よ/よう　蒜灸癰疽　1224　医説　宋・張杲_ページ_1.jpg</v>
      </c>
    </row>
    <row r="5301" spans="1:2" x14ac:dyDescent="0.15">
      <c r="A5301" t="s">
        <v>5274</v>
      </c>
      <c r="B5301" t="str">
        <f>HYPERLINK("よ/よう　蒜灸癰疽　1224　医説　宋・張杲_ページ_2.jpg")</f>
        <v>よ/よう　蒜灸癰疽　1224　医説　宋・張杲_ページ_2.jpg</v>
      </c>
    </row>
    <row r="5302" spans="1:2" x14ac:dyDescent="0.15">
      <c r="A5302" t="s">
        <v>5275</v>
      </c>
      <c r="B5302" t="str">
        <f>HYPERLINK("よ/よう　陽不起　1624　類経図翼　明・張介賓_ページ_1.jpg")</f>
        <v>よ/よう　陽不起　1624　類経図翼　明・張介賓_ページ_1.jpg</v>
      </c>
    </row>
    <row r="5303" spans="1:2" x14ac:dyDescent="0.15">
      <c r="A5303" t="s">
        <v>5276</v>
      </c>
      <c r="B5303" t="str">
        <f>HYPERLINK("よ/よう　陽不起　1624　類経図翼　明・張介賓_ページ_2.jpg")</f>
        <v>よ/よう　陽不起　1624　類経図翼　明・張介賓_ページ_2.jpg</v>
      </c>
    </row>
    <row r="5304" spans="1:2" x14ac:dyDescent="0.15">
      <c r="A5304" t="s">
        <v>5277</v>
      </c>
      <c r="B5304" t="str">
        <f>HYPERLINK("よ/よう　面部一切瘡瘍　疔疽　1758　灸ぜつ塩土伝　三宅意安_ページ_1.jpg")</f>
        <v>よ/よう　面部一切瘡瘍　疔疽　1758　灸ぜつ塩土伝　三宅意安_ページ_1.jpg</v>
      </c>
    </row>
    <row r="5305" spans="1:2" x14ac:dyDescent="0.15">
      <c r="A5305" t="s">
        <v>5278</v>
      </c>
      <c r="B5305" t="str">
        <f>HYPERLINK("よ/よう　面部一切瘡瘍　疔疽　1758　灸ぜつ塩土伝　三宅意安_ページ_2.jpg")</f>
        <v>よ/よう　面部一切瘡瘍　疔疽　1758　灸ぜつ塩土伝　三宅意安_ページ_2.jpg</v>
      </c>
    </row>
    <row r="5306" spans="1:2" x14ac:dyDescent="0.15">
      <c r="A5306" t="s">
        <v>5279</v>
      </c>
      <c r="B5306" t="str">
        <f>HYPERLINK("よ/よう　面部一切瘡瘍　疔疽　1758　灸ぜつ塩土伝　三宅意安_ページ_3.jpg")</f>
        <v>よ/よう　面部一切瘡瘍　疔疽　1758　灸ぜつ塩土伝　三宅意安_ページ_3.jpg</v>
      </c>
    </row>
    <row r="5307" spans="1:2" x14ac:dyDescent="0.15">
      <c r="A5307" t="s">
        <v>5280</v>
      </c>
      <c r="B5307" t="str">
        <f>HYPERLINK("よ/よう　養生之一本　1613　古今集鍼法　長生庵了味か.jpg")</f>
        <v>よ/よう　養生之一本　1613　古今集鍼法　長生庵了味か.jpg</v>
      </c>
    </row>
    <row r="5308" spans="1:2" x14ac:dyDescent="0.15">
      <c r="A5308" t="s">
        <v>5281</v>
      </c>
      <c r="B5308" t="str">
        <f>HYPERLINK("よ/よう　（腹脹腰痛引背少腹控睾）●腎小腸受痛発腹脹腰痛引背少腹控睾　第八　0300　鍼灸甲乙経　皇甫謐_ページ_1.jpg")</f>
        <v>よ/よう　（腹脹腰痛引背少腹控睾）●腎小腸受痛発腹脹腰痛引背少腹控睾　第八　0300　鍼灸甲乙経　皇甫謐_ページ_1.jpg</v>
      </c>
    </row>
    <row r="5309" spans="1:2" x14ac:dyDescent="0.15">
      <c r="A5309" t="s">
        <v>5282</v>
      </c>
      <c r="B5309" t="str">
        <f>HYPERLINK("よ/よう　（腹脹腰痛引背少腹控睾）●腎小腸受痛発腹脹腰痛引背少腹控睾　第八　0300　鍼灸甲乙経　皇甫謐_ページ_2.jpg")</f>
        <v>よ/よう　（腹脹腰痛引背少腹控睾）●腎小腸受痛発腹脹腰痛引背少腹控睾　第八　0300　鍼灸甲乙経　皇甫謐_ページ_2.jpg</v>
      </c>
    </row>
    <row r="5310" spans="1:2" x14ac:dyDescent="0.15">
      <c r="A5310" t="s">
        <v>5283</v>
      </c>
      <c r="B5310" t="str">
        <f>HYPERLINK("よ/よう　（腹脹腰痛引背少腹控睾）●腎小腸受痛発腹脹腰痛引背少腹控睾　第八　0300　鍼灸甲乙経　皇甫謐_ページ_3.jpg")</f>
        <v>よ/よう　（腹脹腰痛引背少腹控睾）●腎小腸受痛発腹脹腰痛引背少腹控睾　第八　0300　鍼灸甲乙経　皇甫謐_ページ_3.jpg</v>
      </c>
    </row>
    <row r="5311" spans="1:2" x14ac:dyDescent="0.15">
      <c r="A5311" t="s">
        <v>5284</v>
      </c>
      <c r="B5311" t="str">
        <f>HYPERLINK("よ/よう　（腹脹腰痛引背少腹控睾）●腎小腸受痛発腹脹腰痛引背少腹控睾　第八　0300　鍼灸甲乙経　皇甫謐_ページ_4.jpg")</f>
        <v>よ/よう　（腹脹腰痛引背少腹控睾）●腎小腸受痛発腹脹腰痛引背少腹控睾　第八　0300　鍼灸甲乙経　皇甫謐_ページ_4.jpg</v>
      </c>
    </row>
    <row r="5312" spans="1:2" x14ac:dyDescent="0.15">
      <c r="A5312" t="s">
        <v>5285</v>
      </c>
      <c r="B5312" t="str">
        <f>HYPERLINK("よ/よう　（腹脹腰痛引背少腹控睾）●腎小腸受痛発腹脹腰痛引背少腹控睾　第八　0300　鍼灸甲乙経　皇甫謐_ページ_5.jpg")</f>
        <v>よ/よう　（腹脹腰痛引背少腹控睾）●腎小腸受痛発腹脹腰痛引背少腹控睾　第八　0300　鍼灸甲乙経　皇甫謐_ページ_5.jpg</v>
      </c>
    </row>
    <row r="5313" spans="1:2" x14ac:dyDescent="0.15">
      <c r="A5313" t="s">
        <v>5286</v>
      </c>
      <c r="B5313" t="str">
        <f>HYPERLINK("よ/よく　欲取胎　1694　選鍼三要集　杉山和一.jpg")</f>
        <v>よ/よく　欲取胎　1694　選鍼三要集　杉山和一.jpg</v>
      </c>
    </row>
    <row r="5314" spans="1:2" x14ac:dyDescent="0.15">
      <c r="A5314" t="s">
        <v>5287</v>
      </c>
      <c r="B5314" t="str">
        <f>HYPERLINK("よ/よこ　横根　1607　扁鵲新流鍼書　越齋寿閑.jpg")</f>
        <v>よ/よこ　横根　1607　扁鵲新流鍼書　越齋寿閑.jpg</v>
      </c>
    </row>
    <row r="5315" spans="1:2" x14ac:dyDescent="0.15">
      <c r="A5315" t="s">
        <v>5288</v>
      </c>
      <c r="B5315" t="str">
        <f>HYPERLINK("ら/らい　癩　1537　鍼灸聚英　明・高武_ページ_1.jpg")</f>
        <v>ら/らい　癩　1537　鍼灸聚英　明・高武_ページ_1.jpg</v>
      </c>
    </row>
    <row r="5316" spans="1:2" x14ac:dyDescent="0.15">
      <c r="A5316" t="s">
        <v>5289</v>
      </c>
      <c r="B5316" t="str">
        <f>HYPERLINK("ら/らい　癩　1537　鍼灸聚英　明・高武_ページ_2.jpg")</f>
        <v>ら/らい　癩　1537　鍼灸聚英　明・高武_ページ_2.jpg</v>
      </c>
    </row>
    <row r="5317" spans="1:2" x14ac:dyDescent="0.15">
      <c r="A5317" t="s">
        <v>5290</v>
      </c>
      <c r="B5317" t="str">
        <f>HYPERLINK("ら/らい　癩　1574　兪穴参伍的法　秦宗巴_ページ_1.jpg")</f>
        <v>ら/らい　癩　1574　兪穴参伍的法　秦宗巴_ページ_1.jpg</v>
      </c>
    </row>
    <row r="5318" spans="1:2" x14ac:dyDescent="0.15">
      <c r="A5318" t="s">
        <v>5291</v>
      </c>
      <c r="B5318" t="str">
        <f>HYPERLINK("ら/らい　癩　1574　兪穴参伍的法　秦宗巴_ページ_2.jpg")</f>
        <v>ら/らい　癩　1574　兪穴参伍的法　秦宗巴_ページ_2.jpg</v>
      </c>
    </row>
    <row r="5319" spans="1:2" x14ac:dyDescent="0.15">
      <c r="A5319" t="s">
        <v>5292</v>
      </c>
      <c r="B5319" t="str">
        <f>HYPERLINK("ら/らい　癩　かたい　1686　鍼灸要法指南　岩田利斎_ページ_1.jpg")</f>
        <v>ら/らい　癩　かたい　1686　鍼灸要法指南　岩田利斎_ページ_1.jpg</v>
      </c>
    </row>
    <row r="5320" spans="1:2" x14ac:dyDescent="0.15">
      <c r="A5320" t="s">
        <v>5293</v>
      </c>
      <c r="B5320" t="str">
        <f>HYPERLINK("ら/らい　癩　かたい　1686　鍼灸要法指南　岩田利斎_ページ_2.jpg")</f>
        <v>ら/らい　癩　かたい　1686　鍼灸要法指南　岩田利斎_ページ_2.jpg</v>
      </c>
    </row>
    <row r="5321" spans="1:2" x14ac:dyDescent="0.15">
      <c r="A5321" t="s">
        <v>5294</v>
      </c>
      <c r="B5321" t="str">
        <f>HYPERLINK("ら/らい　癩病　さんびょう、かったいともいう　1780　鍼灸極秘伝　木村太沖.jpg")</f>
        <v>ら/らい　癩病　さんびょう、かったいともいう　1780　鍼灸極秘伝　木村太沖.jpg</v>
      </c>
    </row>
    <row r="5322" spans="1:2" x14ac:dyDescent="0.15">
      <c r="A5322" t="s">
        <v>5295</v>
      </c>
      <c r="B5322" t="str">
        <f>HYPERLINK("ら/らい　癩風　1563　鍼灸集要　曲直瀬道三.jpg")</f>
        <v>ら/らい　癩風　1563　鍼灸集要　曲直瀬道三.jpg</v>
      </c>
    </row>
    <row r="5323" spans="1:2" x14ac:dyDescent="0.15">
      <c r="A5323" t="s">
        <v>5296</v>
      </c>
      <c r="B5323" t="str">
        <f>HYPERLINK("ら/らい　癩風　1698　鍼灸抜粋大成　岡本一抱.jpg")</f>
        <v>ら/らい　癩風　1698　鍼灸抜粋大成　岡本一抱.jpg</v>
      </c>
    </row>
    <row r="5324" spans="1:2" x14ac:dyDescent="0.15">
      <c r="A5324" t="s">
        <v>5297</v>
      </c>
      <c r="B5324" t="str">
        <f>HYPERLINK("ら/らい　雷火神鍼　1807　続名家灸選　平井庸信_ページ_1.jpg")</f>
        <v>ら/らい　雷火神鍼　1807　続名家灸選　平井庸信_ページ_1.jpg</v>
      </c>
    </row>
    <row r="5325" spans="1:2" x14ac:dyDescent="0.15">
      <c r="A5325" t="s">
        <v>5298</v>
      </c>
      <c r="B5325" t="str">
        <f>HYPERLINK("ら/らい　雷火神鍼　1807　続名家灸選　平井庸信_ページ_2.jpg")</f>
        <v>ら/らい　雷火神鍼　1807　続名家灸選　平井庸信_ページ_2.jpg</v>
      </c>
    </row>
    <row r="5326" spans="1:2" x14ac:dyDescent="0.15">
      <c r="A5326" t="s">
        <v>5299</v>
      </c>
      <c r="B5326" t="str">
        <f>HYPERLINK("ら/らく　落架風　おとがいはずれ　1765　鍼法弁惑　藤井秀孟.jpg")</f>
        <v>ら/らく　落架風　おとがいはずれ　1765　鍼法弁惑　藤井秀孟.jpg</v>
      </c>
    </row>
    <row r="5327" spans="1:2" x14ac:dyDescent="0.15">
      <c r="A5327" t="s">
        <v>5300</v>
      </c>
      <c r="B5327" t="str">
        <f>HYPERLINK("ら/らん　燗眼風（らんかんふう）　ただきめ　眼瞼縁炎　1887（明治20）　鍼灸備要　青山道醇.jpg")</f>
        <v>ら/らん　燗眼風（らんかんふう）　ただきめ　眼瞼縁炎　1887（明治20）　鍼灸備要　青山道醇.jpg</v>
      </c>
    </row>
    <row r="5328" spans="1:2" x14ac:dyDescent="0.15">
      <c r="A5328" t="s">
        <v>5301</v>
      </c>
      <c r="B5328" t="str">
        <f>HYPERLINK("り/り　痢　1220　鍼灸資生経　王執中_ページ_1.jpg")</f>
        <v>り/り　痢　1220　鍼灸資生経　王執中_ページ_1.jpg</v>
      </c>
    </row>
    <row r="5329" spans="1:2" x14ac:dyDescent="0.15">
      <c r="A5329" t="s">
        <v>5302</v>
      </c>
      <c r="B5329" t="str">
        <f>HYPERLINK("り/り　痢　1220　鍼灸資生経　王執中_ページ_2.jpg")</f>
        <v>り/り　痢　1220　鍼灸資生経　王執中_ページ_2.jpg</v>
      </c>
    </row>
    <row r="5330" spans="1:2" x14ac:dyDescent="0.15">
      <c r="A5330" t="s">
        <v>5303</v>
      </c>
      <c r="B5330" t="str">
        <f>HYPERLINK("り/り　痢　1220　鍼灸資生経　王執中_ページ_3.jpg")</f>
        <v>り/り　痢　1220　鍼灸資生経　王執中_ページ_3.jpg</v>
      </c>
    </row>
    <row r="5331" spans="1:2" x14ac:dyDescent="0.15">
      <c r="A5331" t="s">
        <v>5304</v>
      </c>
      <c r="B5331" t="str">
        <f>HYPERLINK("り/り　痢　1563　鍼灸集要　曲直瀬道三.jpg")</f>
        <v>り/り　痢　1563　鍼灸集要　曲直瀬道三.jpg</v>
      </c>
    </row>
    <row r="5332" spans="1:2" x14ac:dyDescent="0.15">
      <c r="A5332" t="s">
        <v>5305</v>
      </c>
      <c r="B5332" t="str">
        <f>HYPERLINK("り/り　痢　1679　鍼法奇貨　渡辺東伯_ページ_1.jpg")</f>
        <v>り/り　痢　1679　鍼法奇貨　渡辺東伯_ページ_1.jpg</v>
      </c>
    </row>
    <row r="5333" spans="1:2" x14ac:dyDescent="0.15">
      <c r="A5333" t="s">
        <v>5306</v>
      </c>
      <c r="B5333" t="str">
        <f>HYPERLINK("り/り　痢　1679　鍼法奇貨　渡辺東伯_ページ_2.jpg")</f>
        <v>り/り　痢　1679　鍼法奇貨　渡辺東伯_ページ_2.jpg</v>
      </c>
    </row>
    <row r="5334" spans="1:2" x14ac:dyDescent="0.15">
      <c r="A5334" t="s">
        <v>5307</v>
      </c>
      <c r="B5334" t="str">
        <f>HYPERLINK("り/り　痢　1679　鍼法奇貨　渡辺東伯_ページ_3.jpg")</f>
        <v>り/り　痢　1679　鍼法奇貨　渡辺東伯_ページ_3.jpg</v>
      </c>
    </row>
    <row r="5335" spans="1:2" x14ac:dyDescent="0.15">
      <c r="A5335" t="s">
        <v>5308</v>
      </c>
      <c r="B5335" t="str">
        <f>HYPERLINK("り/り　痢　1679　鍼法奇貨　渡辺東伯_ページ_4.jpg")</f>
        <v>り/り　痢　1679　鍼法奇貨　渡辺東伯_ページ_4.jpg</v>
      </c>
    </row>
    <row r="5336" spans="1:2" x14ac:dyDescent="0.15">
      <c r="A5336" t="s">
        <v>5309</v>
      </c>
      <c r="B5336" t="str">
        <f>HYPERLINK("り/り　痢　1679　鍼法奇貨　渡辺東伯_ページ_5.jpg")</f>
        <v>り/り　痢　1679　鍼法奇貨　渡辺東伯_ページ_5.jpg</v>
      </c>
    </row>
    <row r="5337" spans="1:2" x14ac:dyDescent="0.15">
      <c r="A5337" t="s">
        <v>5310</v>
      </c>
      <c r="B5337" t="str">
        <f>HYPERLINK("り/り　痢　1694　鍼灸そかい集　高津敬節.jpg")</f>
        <v>り/り　痢　1694　鍼灸そかい集　高津敬節.jpg</v>
      </c>
    </row>
    <row r="5338" spans="1:2" x14ac:dyDescent="0.15">
      <c r="A5338" t="s">
        <v>5311</v>
      </c>
      <c r="B5338" t="str">
        <f>HYPERLINK("り/り　痢　1794　杉山流鍼術　島浦和田一.jpg")</f>
        <v>り/り　痢　1794　杉山流鍼術　島浦和田一.jpg</v>
      </c>
    </row>
    <row r="5339" spans="1:2" x14ac:dyDescent="0.15">
      <c r="A5339" t="s">
        <v>5312</v>
      </c>
      <c r="B5339" t="str">
        <f>HYPERLINK("り/り　痢帯赤白　1694　選鍼三要集　杉山和一.jpg")</f>
        <v>り/り　痢帯赤白　1694　選鍼三要集　杉山和一.jpg</v>
      </c>
    </row>
    <row r="5340" spans="1:2" x14ac:dyDescent="0.15">
      <c r="A5340" t="s">
        <v>5313</v>
      </c>
      <c r="B5340" t="str">
        <f>HYPERLINK("り/り　痢疾　1669　鍼灸枢要　山本玄通_ページ_1.jpg")</f>
        <v>り/り　痢疾　1669　鍼灸枢要　山本玄通_ページ_1.jpg</v>
      </c>
    </row>
    <row r="5341" spans="1:2" x14ac:dyDescent="0.15">
      <c r="A5341" t="s">
        <v>5314</v>
      </c>
      <c r="B5341" t="str">
        <f>HYPERLINK("り/り　痢疾　1669　鍼灸枢要　山本玄通_ページ_2.jpg")</f>
        <v>り/り　痢疾　1669　鍼灸枢要　山本玄通_ページ_2.jpg</v>
      </c>
    </row>
    <row r="5342" spans="1:2" x14ac:dyDescent="0.15">
      <c r="A5342" t="s">
        <v>5315</v>
      </c>
      <c r="B5342" t="str">
        <f>HYPERLINK("り/り　痢疾　1669　鍼灸枢要　山本玄通_ページ_3.jpg")</f>
        <v>り/り　痢疾　1669　鍼灸枢要　山本玄通_ページ_3.jpg</v>
      </c>
    </row>
    <row r="5343" spans="1:2" x14ac:dyDescent="0.15">
      <c r="A5343" t="s">
        <v>5316</v>
      </c>
      <c r="B5343" t="str">
        <f>HYPERLINK("り/り　痢疾　1669　鍼灸枢要　山本玄通_ページ_4.jpg")</f>
        <v>り/り　痢疾　1669　鍼灸枢要　山本玄通_ページ_4.jpg</v>
      </c>
    </row>
    <row r="5344" spans="1:2" x14ac:dyDescent="0.15">
      <c r="A5344" t="s">
        <v>5317</v>
      </c>
      <c r="B5344" t="str">
        <f>HYPERLINK("り/り　痢疾　1669　鍼灸枢要　山本玄通_ページ_5.jpg")</f>
        <v>り/り　痢疾　1669　鍼灸枢要　山本玄通_ページ_5.jpg</v>
      </c>
    </row>
    <row r="5345" spans="1:2" x14ac:dyDescent="0.15">
      <c r="A5345" t="s">
        <v>5318</v>
      </c>
      <c r="B5345" t="str">
        <f>HYPERLINK("り/り　痢疾　1669　鍼灸枢要　山本玄通_ページ_6.jpg")</f>
        <v>り/り　痢疾　1669　鍼灸枢要　山本玄通_ページ_6.jpg</v>
      </c>
    </row>
    <row r="5346" spans="1:2" x14ac:dyDescent="0.15">
      <c r="A5346" t="s">
        <v>5319</v>
      </c>
      <c r="B5346" t="str">
        <f>HYPERLINK("り/り　痢疾　1758　灸ぜつ塩土伝　三宅意安_ページ_1.jpg")</f>
        <v>り/り　痢疾　1758　灸ぜつ塩土伝　三宅意安_ページ_1.jpg</v>
      </c>
    </row>
    <row r="5347" spans="1:2" x14ac:dyDescent="0.15">
      <c r="A5347" t="s">
        <v>5320</v>
      </c>
      <c r="B5347" t="str">
        <f>HYPERLINK("り/り　痢疾　1758　灸ぜつ塩土伝　三宅意安_ページ_2.jpg")</f>
        <v>り/り　痢疾　1758　灸ぜつ塩土伝　三宅意安_ページ_2.jpg</v>
      </c>
    </row>
    <row r="5348" spans="1:2" x14ac:dyDescent="0.15">
      <c r="A5348" t="s">
        <v>5321</v>
      </c>
      <c r="B5348" t="str">
        <f>HYPERLINK("り/り　痢疾　1800　鍼灸備要　小坂元祐_ページ_1.jpg")</f>
        <v>り/り　痢疾　1800　鍼灸備要　小坂元祐_ページ_1.jpg</v>
      </c>
    </row>
    <row r="5349" spans="1:2" x14ac:dyDescent="0.15">
      <c r="A5349" t="s">
        <v>5322</v>
      </c>
      <c r="B5349" t="str">
        <f>HYPERLINK("り/り　痢疾　1800　鍼灸備要　小坂元祐_ページ_2.jpg")</f>
        <v>り/り　痢疾　1800　鍼灸備要　小坂元祐_ページ_2.jpg</v>
      </c>
    </row>
    <row r="5350" spans="1:2" x14ac:dyDescent="0.15">
      <c r="A5350" t="s">
        <v>5323</v>
      </c>
      <c r="B5350" t="str">
        <f>HYPERLINK("り/り　痢疾　1800　鍼灸備要　小坂元祐_ページ_3.jpg")</f>
        <v>り/り　痢疾　1800　鍼灸備要　小坂元祐_ページ_3.jpg</v>
      </c>
    </row>
    <row r="5351" spans="1:2" x14ac:dyDescent="0.15">
      <c r="A5351" t="s">
        <v>5324</v>
      </c>
      <c r="B5351" t="str">
        <f>HYPERLINK("り/り　痢疾　成書年未詳　灸穴集　著者未詳_ページ_1.jpg")</f>
        <v>り/り　痢疾　成書年未詳　灸穴集　著者未詳_ページ_1.jpg</v>
      </c>
    </row>
    <row r="5352" spans="1:2" x14ac:dyDescent="0.15">
      <c r="A5352" t="s">
        <v>5325</v>
      </c>
      <c r="B5352" t="str">
        <f>HYPERLINK("り/り　痢疾　成書年未詳　灸穴集　著者未詳_ページ_2.jpg")</f>
        <v>り/り　痢疾　成書年未詳　灸穴集　著者未詳_ページ_2.jpg</v>
      </c>
    </row>
    <row r="5353" spans="1:2" x14ac:dyDescent="0.15">
      <c r="A5353" t="s">
        <v>5326</v>
      </c>
      <c r="B5353" t="str">
        <f>HYPERLINK("り/り　痢疾　成書年未詳　灸穴集　著者未詳_ページ_3.jpg")</f>
        <v>り/り　痢疾　成書年未詳　灸穴集　著者未詳_ページ_3.jpg</v>
      </c>
    </row>
    <row r="5354" spans="1:2" x14ac:dyDescent="0.15">
      <c r="A5354" t="s">
        <v>5327</v>
      </c>
      <c r="B5354" t="str">
        <f>HYPERLINK("り/り　痢疾　成書年未詳　灸穴集　著者未詳_ページ_4.jpg")</f>
        <v>り/り　痢疾　成書年未詳　灸穴集　著者未詳_ページ_4.jpg</v>
      </c>
    </row>
    <row r="5355" spans="1:2" x14ac:dyDescent="0.15">
      <c r="A5355" t="s">
        <v>5328</v>
      </c>
      <c r="B5355" t="str">
        <f>HYPERLINK("り/り　痢疾并脱肛又下血　成書年未詳　灸穴集　著者未詳.jpg")</f>
        <v>り/り　痢疾并脱肛又下血　成書年未詳　灸穴集　著者未詳.jpg</v>
      </c>
    </row>
    <row r="5356" spans="1:2" x14ac:dyDescent="0.15">
      <c r="A5356" t="s">
        <v>5329</v>
      </c>
      <c r="B5356" t="str">
        <f>HYPERLINK("り/り　痢病　1613　古今集鍼法　長生庵了味か.jpg")</f>
        <v>り/り　痢病　1613　古今集鍼法　長生庵了味か.jpg</v>
      </c>
    </row>
    <row r="5357" spans="1:2" x14ac:dyDescent="0.15">
      <c r="A5357" t="s">
        <v>5330</v>
      </c>
      <c r="B5357" t="str">
        <f>HYPERLINK("り/り　痢病　1680　鍼灸抜萃　著者未詳.jpg")</f>
        <v>り/り　痢病　1680　鍼灸抜萃　著者未詳.jpg</v>
      </c>
    </row>
    <row r="5358" spans="1:2" x14ac:dyDescent="0.15">
      <c r="A5358" t="s">
        <v>5331</v>
      </c>
      <c r="B5358" t="str">
        <f>HYPERLINK("り/り　痢病　1693　鍼灸要歌集　安井昌玄_ページ_1.jpg")</f>
        <v>り/り　痢病　1693　鍼灸要歌集　安井昌玄_ページ_1.jpg</v>
      </c>
    </row>
    <row r="5359" spans="1:2" x14ac:dyDescent="0.15">
      <c r="A5359" t="s">
        <v>5332</v>
      </c>
      <c r="B5359" t="str">
        <f>HYPERLINK("り/り　痢病　1693　鍼灸要歌集　安井昌玄_ページ_2.jpg")</f>
        <v>り/り　痢病　1693　鍼灸要歌集　安井昌玄_ページ_2.jpg</v>
      </c>
    </row>
    <row r="5360" spans="1:2" x14ac:dyDescent="0.15">
      <c r="A5360" t="s">
        <v>5333</v>
      </c>
      <c r="B5360" t="str">
        <f>HYPERLINK("り/り　痢病　1693　鍼灸要歌集　安井昌玄_ページ_3.jpg")</f>
        <v>り/り　痢病　1693　鍼灸要歌集　安井昌玄_ページ_3.jpg</v>
      </c>
    </row>
    <row r="5361" spans="1:2" x14ac:dyDescent="0.15">
      <c r="A5361" t="s">
        <v>5334</v>
      </c>
      <c r="B5361" t="str">
        <f>HYPERLINK("り/り　痢病　1696　広益鍼灸抜萃　著者未詳_ページ_1.jpg")</f>
        <v>り/り　痢病　1696　広益鍼灸抜萃　著者未詳_ページ_1.jpg</v>
      </c>
    </row>
    <row r="5362" spans="1:2" x14ac:dyDescent="0.15">
      <c r="A5362" t="s">
        <v>5335</v>
      </c>
      <c r="B5362" t="str">
        <f>HYPERLINK("り/り　痢病　1696　広益鍼灸抜萃　著者未詳_ページ_2.jpg")</f>
        <v>り/り　痢病　1696　広益鍼灸抜萃　著者未詳_ページ_2.jpg</v>
      </c>
    </row>
    <row r="5363" spans="1:2" x14ac:dyDescent="0.15">
      <c r="A5363" t="s">
        <v>5336</v>
      </c>
      <c r="B5363" t="str">
        <f>HYPERLINK("り/り　痢病　1698　鍼灸抜粋大成　岡本一抱.jpg")</f>
        <v>り/り　痢病　1698　鍼灸抜粋大成　岡本一抱.jpg</v>
      </c>
    </row>
    <row r="5364" spans="1:2" x14ac:dyDescent="0.15">
      <c r="A5364" t="s">
        <v>5337</v>
      </c>
      <c r="B5364" t="str">
        <f>HYPERLINK("り/り　痢病　1767　鍼灸則　菅沼周桂_ページ_1.jpg")</f>
        <v>り/り　痢病　1767　鍼灸則　菅沼周桂_ページ_1.jpg</v>
      </c>
    </row>
    <row r="5365" spans="1:2" x14ac:dyDescent="0.15">
      <c r="A5365" t="s">
        <v>5338</v>
      </c>
      <c r="B5365" t="str">
        <f>HYPERLINK("り/り　痢病　1767　鍼灸則　菅沼周桂_ページ_2.jpg")</f>
        <v>り/り　痢病　1767　鍼灸則　菅沼周桂_ページ_2.jpg</v>
      </c>
    </row>
    <row r="5366" spans="1:2" x14ac:dyDescent="0.15">
      <c r="A5366" t="s">
        <v>5339</v>
      </c>
      <c r="B5366" t="str">
        <f>HYPERLINK("り/り　痢病　1773　鍼灸手引草　大簡室主人_ページ_1.jpg")</f>
        <v>り/り　痢病　1773　鍼灸手引草　大簡室主人_ページ_1.jpg</v>
      </c>
    </row>
    <row r="5367" spans="1:2" x14ac:dyDescent="0.15">
      <c r="A5367" t="s">
        <v>5340</v>
      </c>
      <c r="B5367" t="str">
        <f>HYPERLINK("り/り　痢病　1773　鍼灸手引草　大簡室主人_ページ_2.jpg")</f>
        <v>り/り　痢病　1773　鍼灸手引草　大簡室主人_ページ_2.jpg</v>
      </c>
    </row>
    <row r="5368" spans="1:2" x14ac:dyDescent="0.15">
      <c r="A5368" t="s">
        <v>5341</v>
      </c>
      <c r="B5368" t="str">
        <f>HYPERLINK("り/り　痢病　1785　鍼書　本城義軒_ページ_1.jpg")</f>
        <v>り/り　痢病　1785　鍼書　本城義軒_ページ_1.jpg</v>
      </c>
    </row>
    <row r="5369" spans="1:2" x14ac:dyDescent="0.15">
      <c r="A5369" t="s">
        <v>5342</v>
      </c>
      <c r="B5369" t="str">
        <f>HYPERLINK("り/り　痢病　1785　鍼書　本城義軒_ページ_2.jpg")</f>
        <v>り/り　痢病　1785　鍼書　本城義軒_ページ_2.jpg</v>
      </c>
    </row>
    <row r="5370" spans="1:2" x14ac:dyDescent="0.15">
      <c r="A5370" t="s">
        <v>5343</v>
      </c>
      <c r="B5370" t="str">
        <f>HYPERLINK("り/り　痢病　1792　鍼法要集　源長起_ページ_1.jpg")</f>
        <v>り/り　痢病　1792　鍼法要集　源長起_ページ_1.jpg</v>
      </c>
    </row>
    <row r="5371" spans="1:2" x14ac:dyDescent="0.15">
      <c r="A5371" t="s">
        <v>5344</v>
      </c>
      <c r="B5371" t="str">
        <f>HYPERLINK("り/り　痢病　1792　鍼法要集　源長起_ページ_2.jpg")</f>
        <v>り/り　痢病　1792　鍼法要集　源長起_ページ_2.jpg</v>
      </c>
    </row>
    <row r="5372" spans="1:2" x14ac:dyDescent="0.15">
      <c r="A5372" t="s">
        <v>5345</v>
      </c>
      <c r="B5372" t="str">
        <f>HYPERLINK("り/り　痢病　1792　鍼法要集　源長起_ページ_3.jpg")</f>
        <v>り/り　痢病　1792　鍼法要集　源長起_ページ_3.jpg</v>
      </c>
    </row>
    <row r="5373" spans="1:2" x14ac:dyDescent="0.15">
      <c r="A5373" t="s">
        <v>5346</v>
      </c>
      <c r="B5373" t="str">
        <f>HYPERLINK("り/り　痢病　しぶりはら　1718　鍼灸重宝記　本郷正豊.jpg")</f>
        <v>り/り　痢病　しぶりはら　1718　鍼灸重宝記　本郷正豊.jpg</v>
      </c>
    </row>
    <row r="5374" spans="1:2" x14ac:dyDescent="0.15">
      <c r="A5374" t="s">
        <v>5347</v>
      </c>
      <c r="B5374" t="str">
        <f>HYPERLINK("り/り　痢病　しぶり腹の事　1694　療治之大概集　杉山和一.jpg")</f>
        <v>り/り　痢病　しぶり腹の事　1694　療治之大概集　杉山和一.jpg</v>
      </c>
    </row>
    <row r="5375" spans="1:2" x14ac:dyDescent="0.15">
      <c r="A5375" t="s">
        <v>5348</v>
      </c>
      <c r="B5375" t="str">
        <f>HYPERLINK("り/り　痢病　成書年未詳　経穴図解　著者未詳.jpg")</f>
        <v>り/り　痢病　成書年未詳　経穴図解　著者未詳.jpg</v>
      </c>
    </row>
    <row r="5376" spans="1:2" x14ac:dyDescent="0.15">
      <c r="A5376" t="s">
        <v>5349</v>
      </c>
      <c r="B5376" t="str">
        <f>HYPERLINK("り/り　痢病　赤なめ、白なめ、しぶりはら　1780　鍼灸極秘伝　木村太沖.jpg")</f>
        <v>り/り　痢病　赤なめ、白なめ、しぶりはら　1780　鍼灸極秘伝　木村太沖.jpg</v>
      </c>
    </row>
    <row r="5377" spans="1:2" x14ac:dyDescent="0.15">
      <c r="A5377" t="s">
        <v>5350</v>
      </c>
      <c r="B5377" t="str">
        <f>HYPERLINK("り/り　痢病・脱肛・五痔・下血　しぶりはら、でぢ、すべてのぢ、はしりぢ　1780　鍼灸極秘伝　木村太沖.jpg")</f>
        <v>り/り　痢病・脱肛・五痔・下血　しぶりはら、でぢ、すべてのぢ、はしりぢ　1780　鍼灸極秘伝　木村太沖.jpg</v>
      </c>
    </row>
    <row r="5378" spans="1:2" x14ac:dyDescent="0.15">
      <c r="A5378" t="s">
        <v>5351</v>
      </c>
      <c r="B5378" t="str">
        <f>HYPERLINK("り/り　痢病（りびやう）　赤痢をちぐそと云、白痢をなめと云　赤痢、又、痢疾　1887（明治20）　鍼灸備要　青山道醇.jpg")</f>
        <v>り/り　痢病（りびやう）　赤痢をちぐそと云、白痢をなめと云　赤痢、又、痢疾　1887（明治20）　鍼灸備要　青山道醇.jpg</v>
      </c>
    </row>
    <row r="5379" spans="1:2" x14ac:dyDescent="0.15">
      <c r="A5379" t="s">
        <v>5352</v>
      </c>
      <c r="B5379" t="str">
        <f>HYPERLINK("り/り　裏急後重　しぶりはらいきみても通ぜぬ人　1780　鍼灸極秘伝　木村太沖.jpg")</f>
        <v>り/り　裏急後重　しぶりはらいきみても通ぜぬ人　1780　鍼灸極秘伝　木村太沖.jpg</v>
      </c>
    </row>
    <row r="5380" spans="1:2" x14ac:dyDescent="0.15">
      <c r="A5380" t="s">
        <v>5353</v>
      </c>
      <c r="B5380" t="str">
        <f>HYPERLINK("り/りゅう　留飲　1800　岡田流鍼術書　岡田見龍_ページ_1.jpg")</f>
        <v>り/りゅう　留飲　1800　岡田流鍼術書　岡田見龍_ページ_1.jpg</v>
      </c>
    </row>
    <row r="5381" spans="1:2" x14ac:dyDescent="0.15">
      <c r="A5381" t="s">
        <v>5354</v>
      </c>
      <c r="B5381" t="str">
        <f>HYPERLINK("り/りゅう　留飲　1800　岡田流鍼術書　岡田見龍_ページ_2.jpg")</f>
        <v>り/りゅう　留飲　1800　岡田流鍼術書　岡田見龍_ページ_2.jpg</v>
      </c>
    </row>
    <row r="5382" spans="1:2" x14ac:dyDescent="0.15">
      <c r="A5382" t="s">
        <v>5355</v>
      </c>
      <c r="B5382" t="str">
        <f>HYPERLINK("り/りん　淋　1537　鍼灸聚英　明・高武.jpg")</f>
        <v>り/りん　淋　1537　鍼灸聚英　明・高武.jpg</v>
      </c>
    </row>
    <row r="5383" spans="1:2" x14ac:dyDescent="0.15">
      <c r="A5383" t="s">
        <v>5356</v>
      </c>
      <c r="B5383" t="str">
        <f>HYPERLINK("り/りん　淋　1624　五淋　類経図翼　明・張介賓.jpg")</f>
        <v>り/りん　淋　1624　五淋　類経図翼　明・張介賓.jpg</v>
      </c>
    </row>
    <row r="5384" spans="1:2" x14ac:dyDescent="0.15">
      <c r="A5384" t="s">
        <v>5357</v>
      </c>
      <c r="B5384" t="str">
        <f>HYPERLINK("り/りん　淋　1694　五淋　選鍼三要集　杉山和一.jpg")</f>
        <v>り/りん　淋　1694　五淋　選鍼三要集　杉山和一.jpg</v>
      </c>
    </row>
    <row r="5385" spans="1:2" x14ac:dyDescent="0.15">
      <c r="A5385" t="s">
        <v>5358</v>
      </c>
      <c r="B5385" t="str">
        <f>HYPERLINK("り/りん　淋　1800　五淋　鍼灸備要　小坂元祐_ページ_1.jpg")</f>
        <v>り/りん　淋　1800　五淋　鍼灸備要　小坂元祐_ページ_1.jpg</v>
      </c>
    </row>
    <row r="5386" spans="1:2" x14ac:dyDescent="0.15">
      <c r="A5386" t="s">
        <v>5359</v>
      </c>
      <c r="B5386" t="str">
        <f>HYPERLINK("り/りん　淋　1800　五淋　鍼灸備要　小坂元祐_ページ_2.jpg")</f>
        <v>り/りん　淋　1800　五淋　鍼灸備要　小坂元祐_ページ_2.jpg</v>
      </c>
    </row>
    <row r="5387" spans="1:2" x14ac:dyDescent="0.15">
      <c r="A5387" t="s">
        <v>5360</v>
      </c>
      <c r="B5387" t="str">
        <f>HYPERLINK("り/りん　淋　1800　五淋　鍼灸備要　小坂元祐_ページ_3.jpg")</f>
        <v>り/りん　淋　1800　五淋　鍼灸備要　小坂元祐_ページ_3.jpg</v>
      </c>
    </row>
    <row r="5388" spans="1:2" x14ac:dyDescent="0.15">
      <c r="A5388" t="s">
        <v>5361</v>
      </c>
      <c r="B5388" t="str">
        <f>HYPERLINK("り/りん　淋　1800　五淋　鍼灸備要　小坂元祐_ページ_4.jpg")</f>
        <v>り/りん　淋　1800　五淋　鍼灸備要　小坂元祐_ページ_4.jpg</v>
      </c>
    </row>
    <row r="5389" spans="1:2" x14ac:dyDescent="0.15">
      <c r="A5389" t="s">
        <v>5362</v>
      </c>
      <c r="B5389" t="str">
        <f>HYPERLINK("り/りん　淋りゅう　1220　鍼灸資生経　王執中_ページ_1.jpg")</f>
        <v>り/りん　淋りゅう　1220　鍼灸資生経　王執中_ページ_1.jpg</v>
      </c>
    </row>
    <row r="5390" spans="1:2" x14ac:dyDescent="0.15">
      <c r="A5390" t="s">
        <v>5363</v>
      </c>
      <c r="B5390" t="str">
        <f>HYPERLINK("り/りん　淋りゅう　1220　鍼灸資生経　王執中_ページ_2.jpg")</f>
        <v>り/りん　淋りゅう　1220　鍼灸資生経　王執中_ページ_2.jpg</v>
      </c>
    </row>
    <row r="5391" spans="1:2" x14ac:dyDescent="0.15">
      <c r="A5391" t="s">
        <v>5364</v>
      </c>
      <c r="B5391" t="str">
        <f>HYPERLINK("り/りん　淋りゅう　1912年（大正01）　鍼灸手引草　久木田七郎.jpg")</f>
        <v>り/りん　淋りゅう　1912年（大正01）　鍼灸手引草　久木田七郎.jpg</v>
      </c>
    </row>
    <row r="5392" spans="1:2" x14ac:dyDescent="0.15">
      <c r="A5392" t="s">
        <v>5365</v>
      </c>
      <c r="B5392" t="str">
        <f>HYPERLINK("り/りん　淋疾　1813　名家灸選　浅井惟亨_ページ_1.jpg")</f>
        <v>り/りん　淋疾　1813　名家灸選　浅井惟亨_ページ_1.jpg</v>
      </c>
    </row>
    <row r="5393" spans="1:2" x14ac:dyDescent="0.15">
      <c r="A5393" t="s">
        <v>5366</v>
      </c>
      <c r="B5393" t="str">
        <f>HYPERLINK("り/りん　淋疾　1813　名家灸選　浅井惟亨_ページ_2.jpg")</f>
        <v>り/りん　淋疾　1813　名家灸選　浅井惟亨_ページ_2.jpg</v>
      </c>
    </row>
    <row r="5394" spans="1:2" x14ac:dyDescent="0.15">
      <c r="A5394" t="s">
        <v>5367</v>
      </c>
      <c r="B5394" t="str">
        <f>HYPERLINK("り/りん　淋疾　1813　名家灸選三編　平井庸信_ページ_1.jpg")</f>
        <v>り/りん　淋疾　1813　名家灸選三編　平井庸信_ページ_1.jpg</v>
      </c>
    </row>
    <row r="5395" spans="1:2" x14ac:dyDescent="0.15">
      <c r="A5395" t="s">
        <v>5368</v>
      </c>
      <c r="B5395" t="str">
        <f>HYPERLINK("り/りん　淋疾　1813　名家灸選三編　平井庸信_ページ_2.jpg")</f>
        <v>り/りん　淋疾　1813　名家灸選三編　平井庸信_ページ_2.jpg</v>
      </c>
    </row>
    <row r="5396" spans="1:2" x14ac:dyDescent="0.15">
      <c r="A5396" t="s">
        <v>5369</v>
      </c>
      <c r="B5396" t="str">
        <f>HYPERLINK("り/りん　淋疾　成書年未詳　灸穴集　著者未詳.jpg")</f>
        <v>り/りん　淋疾　成書年未詳　灸穴集　著者未詳.jpg</v>
      </c>
    </row>
    <row r="5397" spans="1:2" x14ac:dyDescent="0.15">
      <c r="A5397" t="s">
        <v>5370</v>
      </c>
      <c r="B5397" t="str">
        <f>HYPERLINK("り/りん　淋病　1563　鍼灸集要　曲直瀬道三.jpg")</f>
        <v>り/りん　淋病　1563　鍼灸集要　曲直瀬道三.jpg</v>
      </c>
    </row>
    <row r="5398" spans="1:2" x14ac:dyDescent="0.15">
      <c r="A5398" t="s">
        <v>5371</v>
      </c>
      <c r="B5398" t="str">
        <f>HYPERLINK("り/りん　淋病　1680　鍼灸抜萃　著者未詳.jpg")</f>
        <v>り/りん　淋病　1680　鍼灸抜萃　著者未詳.jpg</v>
      </c>
    </row>
    <row r="5399" spans="1:2" x14ac:dyDescent="0.15">
      <c r="A5399" t="s">
        <v>5372</v>
      </c>
      <c r="B5399" t="str">
        <f>HYPERLINK("り/りん　淋病　1693　鍼灸要歌集　安井昌玄_ページ_1.jpg")</f>
        <v>り/りん　淋病　1693　鍼灸要歌集　安井昌玄_ページ_1.jpg</v>
      </c>
    </row>
    <row r="5400" spans="1:2" x14ac:dyDescent="0.15">
      <c r="A5400" t="s">
        <v>5373</v>
      </c>
      <c r="B5400" t="str">
        <f>HYPERLINK("り/りん　淋病　1693　鍼灸要歌集　安井昌玄_ページ_2.jpg")</f>
        <v>り/りん　淋病　1693　鍼灸要歌集　安井昌玄_ページ_2.jpg</v>
      </c>
    </row>
    <row r="5401" spans="1:2" x14ac:dyDescent="0.15">
      <c r="A5401" t="s">
        <v>5374</v>
      </c>
      <c r="B5401" t="str">
        <f>HYPERLINK("り/りん　淋病　1693　鍼灸要歌集　安井昌玄_ページ_3.jpg")</f>
        <v>り/りん　淋病　1693　鍼灸要歌集　安井昌玄_ページ_3.jpg</v>
      </c>
    </row>
    <row r="5402" spans="1:2" x14ac:dyDescent="0.15">
      <c r="A5402" t="s">
        <v>5375</v>
      </c>
      <c r="B5402" t="str">
        <f>HYPERLINK("り/りん　淋病　1694　療治之大概集　杉山和一.jpg")</f>
        <v>り/りん　淋病　1694　療治之大概集　杉山和一.jpg</v>
      </c>
    </row>
    <row r="5403" spans="1:2" x14ac:dyDescent="0.15">
      <c r="A5403" t="s">
        <v>5376</v>
      </c>
      <c r="B5403" t="str">
        <f>HYPERLINK("り/りん　淋病　1694　鍼灸そかい集　高津敬節.jpg")</f>
        <v>り/りん　淋病　1694　鍼灸そかい集　高津敬節.jpg</v>
      </c>
    </row>
    <row r="5404" spans="1:2" x14ac:dyDescent="0.15">
      <c r="A5404" t="s">
        <v>5377</v>
      </c>
      <c r="B5404" t="str">
        <f>HYPERLINK("り/りん　淋病　1696　広益鍼灸抜萃　著者未詳_ページ_1.jpg")</f>
        <v>り/りん　淋病　1696　広益鍼灸抜萃　著者未詳_ページ_1.jpg</v>
      </c>
    </row>
    <row r="5405" spans="1:2" x14ac:dyDescent="0.15">
      <c r="A5405" t="s">
        <v>5378</v>
      </c>
      <c r="B5405" t="str">
        <f>HYPERLINK("り/りん　淋病　1696　広益鍼灸抜萃　著者未詳_ページ_2.jpg")</f>
        <v>り/りん　淋病　1696　広益鍼灸抜萃　著者未詳_ページ_2.jpg</v>
      </c>
    </row>
    <row r="5406" spans="1:2" x14ac:dyDescent="0.15">
      <c r="A5406" t="s">
        <v>5379</v>
      </c>
      <c r="B5406" t="str">
        <f>HYPERLINK("り/りん　淋病　1698　鍼灸抜粋大成　岡本一抱_ページ_1.jpg")</f>
        <v>り/りん　淋病　1698　鍼灸抜粋大成　岡本一抱_ページ_1.jpg</v>
      </c>
    </row>
    <row r="5407" spans="1:2" x14ac:dyDescent="0.15">
      <c r="A5407" t="s">
        <v>5380</v>
      </c>
      <c r="B5407" t="str">
        <f>HYPERLINK("り/りん　淋病　1698　鍼灸抜粋大成　岡本一抱_ページ_2.jpg")</f>
        <v>り/りん　淋病　1698　鍼灸抜粋大成　岡本一抱_ページ_2.jpg</v>
      </c>
    </row>
    <row r="5408" spans="1:2" x14ac:dyDescent="0.15">
      <c r="A5408" t="s">
        <v>5381</v>
      </c>
      <c r="B5408" t="str">
        <f>HYPERLINK("り/りん　淋病　1767　鍼灸則　菅沼周桂_ページ_1.jpg")</f>
        <v>り/りん　淋病　1767　鍼灸則　菅沼周桂_ページ_1.jpg</v>
      </c>
    </row>
    <row r="5409" spans="1:2" x14ac:dyDescent="0.15">
      <c r="A5409" t="s">
        <v>5382</v>
      </c>
      <c r="B5409" t="str">
        <f>HYPERLINK("り/りん　淋病　1767　鍼灸則　菅沼周桂_ページ_2.jpg")</f>
        <v>り/りん　淋病　1767　鍼灸則　菅沼周桂_ページ_2.jpg</v>
      </c>
    </row>
    <row r="5410" spans="1:2" x14ac:dyDescent="0.15">
      <c r="A5410" t="s">
        <v>5383</v>
      </c>
      <c r="B5410" t="str">
        <f>HYPERLINK("り/りん　淋病　1773　鍼灸手引草　大簡室主人_ページ_1.jpg")</f>
        <v>り/りん　淋病　1773　鍼灸手引草　大簡室主人_ページ_1.jpg</v>
      </c>
    </row>
    <row r="5411" spans="1:2" x14ac:dyDescent="0.15">
      <c r="A5411" t="s">
        <v>5384</v>
      </c>
      <c r="B5411" t="str">
        <f>HYPERLINK("り/りん　淋病　1773　鍼灸手引草　大簡室主人_ページ_2.jpg")</f>
        <v>り/りん　淋病　1773　鍼灸手引草　大簡室主人_ページ_2.jpg</v>
      </c>
    </row>
    <row r="5412" spans="1:2" x14ac:dyDescent="0.15">
      <c r="A5412" t="s">
        <v>5385</v>
      </c>
      <c r="B5412" t="str">
        <f>HYPERLINK("り/りん　淋病　1773　鍼灸手引草　大簡室主人_ページ_3.jpg")</f>
        <v>り/りん　淋病　1773　鍼灸手引草　大簡室主人_ページ_3.jpg</v>
      </c>
    </row>
    <row r="5413" spans="1:2" x14ac:dyDescent="0.15">
      <c r="A5413" t="s">
        <v>5386</v>
      </c>
      <c r="B5413" t="str">
        <f>HYPERLINK("り/りん　淋病　1785　鍼書　本城義軒.jpg")</f>
        <v>り/りん　淋病　1785　鍼書　本城義軒.jpg</v>
      </c>
    </row>
    <row r="5414" spans="1:2" x14ac:dyDescent="0.15">
      <c r="A5414" t="s">
        <v>5387</v>
      </c>
      <c r="B5414" t="str">
        <f>HYPERLINK("り/りん　淋病　1792　鍼法要集　源長起_ページ_1.jpg")</f>
        <v>り/りん　淋病　1792　鍼法要集　源長起_ページ_1.jpg</v>
      </c>
    </row>
    <row r="5415" spans="1:2" x14ac:dyDescent="0.15">
      <c r="A5415" t="s">
        <v>5388</v>
      </c>
      <c r="B5415" t="str">
        <f>HYPERLINK("り/りん　淋病　1792　鍼法要集　源長起_ページ_2.jpg")</f>
        <v>り/りん　淋病　1792　鍼法要集　源長起_ページ_2.jpg</v>
      </c>
    </row>
    <row r="5416" spans="1:2" x14ac:dyDescent="0.15">
      <c r="A5416" t="s">
        <v>5389</v>
      </c>
      <c r="B5416" t="str">
        <f>HYPERLINK("り/りん　淋病　1800　岡田流鍼術書　岡田見龍_ページ_1.jpg")</f>
        <v>り/りん　淋病　1800　岡田流鍼術書　岡田見龍_ページ_1.jpg</v>
      </c>
    </row>
    <row r="5417" spans="1:2" x14ac:dyDescent="0.15">
      <c r="A5417" t="s">
        <v>5390</v>
      </c>
      <c r="B5417" t="str">
        <f>HYPERLINK("り/りん　淋病　1800　岡田流鍼術書　岡田見龍_ページ_2.jpg")</f>
        <v>り/りん　淋病　1800　岡田流鍼術書　岡田見龍_ページ_2.jpg</v>
      </c>
    </row>
    <row r="5418" spans="1:2" x14ac:dyDescent="0.15">
      <c r="A5418" t="s">
        <v>5391</v>
      </c>
      <c r="B5418" t="str">
        <f>HYPERLINK("り/りん　淋病　しはゆばり、又、りんひやう　淋疾、又、淋　1887（明治20）　鍼灸備要　青山道醇.jpg")</f>
        <v>り/りん　淋病　しはゆばり、又、りんひやう　淋疾、又、淋　1887（明治20）　鍼灸備要　青山道醇.jpg</v>
      </c>
    </row>
    <row r="5419" spans="1:2" x14ac:dyDescent="0.15">
      <c r="A5419" t="s">
        <v>5392</v>
      </c>
      <c r="B5419" t="str">
        <f>HYPERLINK("り/りん　淋病　りんびょう　1780　鍼灸極秘伝　木村太沖.jpg")</f>
        <v>り/りん　淋病　りんびょう　1780　鍼灸極秘伝　木村太沖.jpg</v>
      </c>
    </row>
    <row r="5420" spans="1:2" x14ac:dyDescent="0.15">
      <c r="A5420" t="s">
        <v>5393</v>
      </c>
      <c r="B5420" t="str">
        <f>HYPERLINK("り/りん　淋病　小便閉　1718　鍼灸重宝記　本郷正豊_ページ_1.jpg")</f>
        <v>り/りん　淋病　小便閉　1718　鍼灸重宝記　本郷正豊_ページ_1.jpg</v>
      </c>
    </row>
    <row r="5421" spans="1:2" x14ac:dyDescent="0.15">
      <c r="A5421" t="s">
        <v>5394</v>
      </c>
      <c r="B5421" t="str">
        <f>HYPERLINK("り/りん　淋病　小便閉　1718　鍼灸重宝記　本郷正豊_ページ_2.jpg")</f>
        <v>り/りん　淋病　小便閉　1718　鍼灸重宝記　本郷正豊_ページ_2.jpg</v>
      </c>
    </row>
    <row r="5422" spans="1:2" x14ac:dyDescent="0.15">
      <c r="A5422" t="s">
        <v>5395</v>
      </c>
      <c r="B5422" t="str">
        <f>HYPERLINK("り/りん　淋病之治穴　1613　古今集鍼法　長生庵了味か.jpg")</f>
        <v>り/りん　淋病之治穴　1613　古今集鍼法　長生庵了味か.jpg</v>
      </c>
    </row>
    <row r="5423" spans="1:2" x14ac:dyDescent="0.15">
      <c r="A5423" t="s">
        <v>5396</v>
      </c>
      <c r="B5423" t="str">
        <f>HYPERLINK("り/りん　淋証　1686　鍼灸要法指南　岩田利斎.jpg")</f>
        <v>り/りん　淋証　1686　鍼灸要法指南　岩田利斎.jpg</v>
      </c>
    </row>
    <row r="5424" spans="1:2" x14ac:dyDescent="0.15">
      <c r="A5424" t="s">
        <v>5397</v>
      </c>
      <c r="B5424" t="str">
        <f>HYPERLINK("り/りん　淋閉　玉機微義針灸証治　1537　鍼灸聚英　明・高武_ページ_1.jpg")</f>
        <v>り/りん　淋閉　玉機微義針灸証治　1537　鍼灸聚英　明・高武_ページ_1.jpg</v>
      </c>
    </row>
    <row r="5425" spans="1:2" x14ac:dyDescent="0.15">
      <c r="A5425" t="s">
        <v>5398</v>
      </c>
      <c r="B5425" t="str">
        <f>HYPERLINK("り/りん　淋閉　玉機微義針灸証治　1537　鍼灸聚英　明・高武_ページ_2.jpg")</f>
        <v>り/りん　淋閉　玉機微義針灸証治　1537　鍼灸聚英　明・高武_ページ_2.jpg</v>
      </c>
    </row>
    <row r="5426" spans="1:2" x14ac:dyDescent="0.15">
      <c r="A5426" t="s">
        <v>5399</v>
      </c>
      <c r="B5426" t="str">
        <f>HYPERLINK("り/りん　諸々の淋病　1607　扁鵲新流鍼書　越齋寿閑.jpg")</f>
        <v>り/りん　諸々の淋病　1607　扁鵲新流鍼書　越齋寿閑.jpg</v>
      </c>
    </row>
    <row r="5427" spans="1:2" x14ac:dyDescent="0.15">
      <c r="A5427" t="s">
        <v>5400</v>
      </c>
      <c r="B5427" t="str">
        <f>HYPERLINK("り/りん　諸淋　1679　鍼法奇貨　渡辺東伯_ページ_1.jpg")</f>
        <v>り/りん　諸淋　1679　鍼法奇貨　渡辺東伯_ページ_1.jpg</v>
      </c>
    </row>
    <row r="5428" spans="1:2" x14ac:dyDescent="0.15">
      <c r="A5428" t="s">
        <v>5401</v>
      </c>
      <c r="B5428" t="str">
        <f>HYPERLINK("り/りん　諸淋　1679　鍼法奇貨　渡辺東伯_ページ_2.jpg")</f>
        <v>り/りん　諸淋　1679　鍼法奇貨　渡辺東伯_ページ_2.jpg</v>
      </c>
    </row>
    <row r="5429" spans="1:2" x14ac:dyDescent="0.15">
      <c r="A5429" t="s">
        <v>5402</v>
      </c>
      <c r="B5429" t="str">
        <f>HYPERLINK("り/りん　諸淋　1679　鍼法奇貨　渡辺東伯_ページ_3.jpg")</f>
        <v>り/りん　諸淋　1679　鍼法奇貨　渡辺東伯_ページ_3.jpg</v>
      </c>
    </row>
    <row r="5430" spans="1:2" x14ac:dyDescent="0.15">
      <c r="A5430" t="s">
        <v>5403</v>
      </c>
      <c r="B5430" t="str">
        <f>HYPERLINK("り/りん　諸淋　1679　鍼法奇貨　渡辺東伯_ページ_4.jpg")</f>
        <v>り/りん　諸淋　1679　鍼法奇貨　渡辺東伯_ページ_4.jpg</v>
      </c>
    </row>
    <row r="5431" spans="1:2" x14ac:dyDescent="0.15">
      <c r="A5431" t="s">
        <v>5404</v>
      </c>
      <c r="B5431" t="str">
        <f>HYPERLINK("り/りん　諸淋　1679　鍼法奇貨　渡辺東伯_ページ_5.jpg")</f>
        <v>り/りん　諸淋　1679　鍼法奇貨　渡辺東伯_ページ_5.jpg</v>
      </c>
    </row>
    <row r="5432" spans="1:2" x14ac:dyDescent="0.15">
      <c r="A5432" t="s">
        <v>5405</v>
      </c>
      <c r="B5432" t="str">
        <f>HYPERLINK("り/りん　諸淋　1679　鍼法奇貨　渡辺東伯_ページ_6.jpg")</f>
        <v>り/りん　諸淋　1679　鍼法奇貨　渡辺東伯_ページ_6.jpg</v>
      </c>
    </row>
    <row r="5433" spans="1:2" x14ac:dyDescent="0.15">
      <c r="A5433" t="s">
        <v>5406</v>
      </c>
      <c r="B5433" t="str">
        <f>HYPERLINK("り/りん　諸淋　1794　杉山流鍼術　島浦和田一.jpg")</f>
        <v>り/りん　諸淋　1794　杉山流鍼術　島浦和田一.jpg</v>
      </c>
    </row>
    <row r="5434" spans="1:2" x14ac:dyDescent="0.15">
      <c r="A5434" t="s">
        <v>5407</v>
      </c>
      <c r="B5434" t="str">
        <f>HYPERLINK("る/るい　涙出不止　1765　鍼法弁惑　藤井秀孟.jpg")</f>
        <v>る/るい　涙出不止　1765　鍼法弁惑　藤井秀孟.jpg</v>
      </c>
    </row>
    <row r="5435" spans="1:2" x14ac:dyDescent="0.15">
      <c r="A5435" t="s">
        <v>5408</v>
      </c>
      <c r="B5435" t="str">
        <f>HYPERLINK("る/るい　瘰れき　1220　鍼灸資生経　王執中_ページ_1.jpg")</f>
        <v>る/るい　瘰れき　1220　鍼灸資生経　王執中_ページ_1.jpg</v>
      </c>
    </row>
    <row r="5436" spans="1:2" x14ac:dyDescent="0.15">
      <c r="A5436" t="s">
        <v>5409</v>
      </c>
      <c r="B5436" t="str">
        <f>HYPERLINK("る/るい　瘰れき　1220　鍼灸資生経　王執中_ページ_2.jpg")</f>
        <v>る/るい　瘰れき　1220　鍼灸資生経　王執中_ページ_2.jpg</v>
      </c>
    </row>
    <row r="5437" spans="1:2" x14ac:dyDescent="0.15">
      <c r="A5437" t="s">
        <v>5410</v>
      </c>
      <c r="B5437" t="str">
        <f>HYPERLINK("る/るい　瘰癧　1329　扁鵲神応鍼灸玉龍経　元・王国瑞_ページ_1.jpg")</f>
        <v>る/るい　瘰癧　1329　扁鵲神応鍼灸玉龍経　元・王国瑞_ページ_1.jpg</v>
      </c>
    </row>
    <row r="5438" spans="1:2" x14ac:dyDescent="0.15">
      <c r="A5438" t="s">
        <v>5411</v>
      </c>
      <c r="B5438" t="str">
        <f>HYPERLINK("る/るい　瘰癧　1329　扁鵲神応鍼灸玉龍経　元・王国瑞_ページ_2.jpg")</f>
        <v>る/るい　瘰癧　1329　扁鵲神応鍼灸玉龍経　元・王国瑞_ページ_2.jpg</v>
      </c>
    </row>
    <row r="5439" spans="1:2" x14ac:dyDescent="0.15">
      <c r="A5439" t="s">
        <v>5412</v>
      </c>
      <c r="B5439" t="str">
        <f>HYPERLINK("る/るい　瘰癧　1563　鍼灸集要　曲直瀬道三.jpg")</f>
        <v>る/るい　瘰癧　1563　鍼灸集要　曲直瀬道三.jpg</v>
      </c>
    </row>
    <row r="5440" spans="1:2" x14ac:dyDescent="0.15">
      <c r="A5440" t="s">
        <v>5413</v>
      </c>
      <c r="B5440" t="str">
        <f>HYPERLINK("る/るい　瘰癧　1765　鍼法弁惑　藤井秀孟_ページ_1.jpg")</f>
        <v>る/るい　瘰癧　1765　鍼法弁惑　藤井秀孟_ページ_1.jpg</v>
      </c>
    </row>
    <row r="5441" spans="1:2" x14ac:dyDescent="0.15">
      <c r="A5441" t="s">
        <v>5414</v>
      </c>
      <c r="B5441" t="str">
        <f>HYPERLINK("る/るい　瘰癧　1765　鍼法弁惑　藤井秀孟_ページ_2.jpg")</f>
        <v>る/るい　瘰癧　1765　鍼法弁惑　藤井秀孟_ページ_2.jpg</v>
      </c>
    </row>
    <row r="5442" spans="1:2" x14ac:dyDescent="0.15">
      <c r="A5442" t="s">
        <v>5415</v>
      </c>
      <c r="B5442" t="str">
        <f>HYPERLINK("る/るい　瘰癧　1773　鍼灸手引草　大簡室主人.jpg")</f>
        <v>る/るい　瘰癧　1773　鍼灸手引草　大簡室主人.jpg</v>
      </c>
    </row>
    <row r="5443" spans="1:2" x14ac:dyDescent="0.15">
      <c r="A5443" t="s">
        <v>5416</v>
      </c>
      <c r="B5443" t="str">
        <f>HYPERLINK("る/るい　瘰癧　1807　続名家灸選　平井庸信.jpg")</f>
        <v>る/るい　瘰癧　1807　続名家灸選　平井庸信.jpg</v>
      </c>
    </row>
    <row r="5444" spans="1:2" x14ac:dyDescent="0.15">
      <c r="A5444" t="s">
        <v>5417</v>
      </c>
      <c r="B5444" t="str">
        <f>HYPERLINK("る/るい　瘰癧　1813　名家灸選　浅井惟亨_ページ_1.jpg")</f>
        <v>る/るい　瘰癧　1813　名家灸選　浅井惟亨_ページ_1.jpg</v>
      </c>
    </row>
    <row r="5445" spans="1:2" x14ac:dyDescent="0.15">
      <c r="A5445" t="s">
        <v>5418</v>
      </c>
      <c r="B5445" t="str">
        <f>HYPERLINK("る/るい　瘰癧　1813　名家灸選　浅井惟亨_ページ_2.jpg")</f>
        <v>る/るい　瘰癧　1813　名家灸選　浅井惟亨_ページ_2.jpg</v>
      </c>
    </row>
    <row r="5446" spans="1:2" x14ac:dyDescent="0.15">
      <c r="A5446" t="s">
        <v>5419</v>
      </c>
      <c r="B5446" t="str">
        <f>HYPERLINK("る/るい　瘰癧　1813　名家灸選三編　平井庸信_ページ_1.jpg")</f>
        <v>る/るい　瘰癧　1813　名家灸選三編　平井庸信_ページ_1.jpg</v>
      </c>
    </row>
    <row r="5447" spans="1:2" x14ac:dyDescent="0.15">
      <c r="A5447" t="s">
        <v>5420</v>
      </c>
      <c r="B5447" t="str">
        <f>HYPERLINK("る/るい　瘰癧　1813　名家灸選三編　平井庸信_ページ_2.jpg")</f>
        <v>る/るい　瘰癧　1813　名家灸選三編　平井庸信_ページ_2.jpg</v>
      </c>
    </row>
    <row r="5448" spans="1:2" x14ac:dyDescent="0.15">
      <c r="A5448" t="s">
        <v>5421</v>
      </c>
      <c r="B5448" t="str">
        <f>HYPERLINK("る/るい　瘰癧　1813　名家灸選三編　平井庸信_ページ_3.jpg")</f>
        <v>る/るい　瘰癧　1813　名家灸選三編　平井庸信_ページ_3.jpg</v>
      </c>
    </row>
    <row r="5449" spans="1:2" x14ac:dyDescent="0.15">
      <c r="A5449" t="s">
        <v>5422</v>
      </c>
      <c r="B5449" t="str">
        <f>HYPERLINK("る/るい　瘰癧　成書年未詳　灸穴集　著者未詳.jpg")</f>
        <v>る/るい　瘰癧　成書年未詳　灸穴集　著者未詳.jpg</v>
      </c>
    </row>
    <row r="5450" spans="1:2" x14ac:dyDescent="0.15">
      <c r="A5450" t="s">
        <v>5423</v>
      </c>
      <c r="B5450" t="str">
        <f>HYPERLINK("る/るい　瘰癧　癩風　1792　鍼法要集　源長起_ページ_1.jpg")</f>
        <v>る/るい　瘰癧　癩風　1792　鍼法要集　源長起_ページ_1.jpg</v>
      </c>
    </row>
    <row r="5451" spans="1:2" x14ac:dyDescent="0.15">
      <c r="A5451" t="s">
        <v>5424</v>
      </c>
      <c r="B5451" t="str">
        <f>HYPERLINK("る/るい　瘰癧　癩風　1792　鍼法要集　源長起_ページ_2.jpg")</f>
        <v>る/るい　瘰癧　癩風　1792　鍼法要集　源長起_ページ_2.jpg</v>
      </c>
    </row>
    <row r="5452" spans="1:2" x14ac:dyDescent="0.15">
      <c r="A5452" t="s">
        <v>5425</v>
      </c>
      <c r="B5452" t="str">
        <f>HYPERLINK("る/るい　瘰癧　癰疽　1758　灸ぜつ塩土伝　三宅意安_ページ_1.jpg")</f>
        <v>る/るい　瘰癧　癰疽　1758　灸ぜつ塩土伝　三宅意安_ページ_1.jpg</v>
      </c>
    </row>
    <row r="5453" spans="1:2" x14ac:dyDescent="0.15">
      <c r="A5453" t="s">
        <v>5426</v>
      </c>
      <c r="B5453" t="str">
        <f>HYPERLINK("る/るい　瘰癧　癰疽　1758　灸ぜつ塩土伝　三宅意安_ページ_2.jpg")</f>
        <v>る/るい　瘰癧　癰疽　1758　灸ぜつ塩土伝　三宅意安_ページ_2.jpg</v>
      </c>
    </row>
    <row r="5454" spans="1:2" x14ac:dyDescent="0.15">
      <c r="A5454" t="s">
        <v>5427</v>
      </c>
      <c r="B5454" t="str">
        <f>HYPERLINK("る/るい　瘰癧　癰疽　1758　灸ぜつ塩土伝　三宅意安_ページ_3.jpg")</f>
        <v>る/るい　瘰癧　癰疽　1758　灸ぜつ塩土伝　三宅意安_ページ_3.jpg</v>
      </c>
    </row>
    <row r="5455" spans="1:2" x14ac:dyDescent="0.15">
      <c r="A5455" t="s">
        <v>5428</v>
      </c>
      <c r="B5455" t="str">
        <f>HYPERLINK("る/るい　瘰癧　癰疽　1758　灸ぜつ塩土伝　三宅意安_ページ_4.jpg")</f>
        <v>る/るい　瘰癧　癰疽　1758　灸ぜつ塩土伝　三宅意安_ページ_4.jpg</v>
      </c>
    </row>
    <row r="5456" spans="1:2" x14ac:dyDescent="0.15">
      <c r="A5456" t="s">
        <v>5429</v>
      </c>
      <c r="B5456" t="str">
        <f>HYPERLINK("る/るい　瘰癧　馬刀瘡　1686　鍼灸要法指南　岩田利斎.jpg")</f>
        <v>る/るい　瘰癧　馬刀瘡　1686　鍼灸要法指南　岩田利斎.jpg</v>
      </c>
    </row>
    <row r="5457" spans="1:2" x14ac:dyDescent="0.15">
      <c r="A5457" t="s">
        <v>5430</v>
      </c>
      <c r="B5457" t="str">
        <f>HYPERLINK("れ/れい　癘風　1607　扁鵲新流鍼書　越齋寿閑.jpg")</f>
        <v>れ/れい　癘風　1607　扁鵲新流鍼書　越齋寿閑.jpg</v>
      </c>
    </row>
    <row r="5458" spans="1:2" x14ac:dyDescent="0.15">
      <c r="A5458" t="s">
        <v>5431</v>
      </c>
      <c r="B5458" t="str">
        <f>HYPERLINK("れ/れい　癘風　玉機微義針灸証治　1537　鍼灸聚英　明・高武_ページ_1.jpg")</f>
        <v>れ/れい　癘風　玉機微義針灸証治　1537　鍼灸聚英　明・高武_ページ_1.jpg</v>
      </c>
    </row>
    <row r="5459" spans="1:2" x14ac:dyDescent="0.15">
      <c r="A5459" t="s">
        <v>5432</v>
      </c>
      <c r="B5459" t="str">
        <f>HYPERLINK("れ/れい　癘風　玉機微義針灸証治　1537　鍼灸聚英　明・高武_ページ_2.jpg")</f>
        <v>れ/れい　癘風　玉機微義針灸証治　1537　鍼灸聚英　明・高武_ページ_2.jpg</v>
      </c>
    </row>
    <row r="5460" spans="1:2" x14ac:dyDescent="0.15">
      <c r="A5460" t="s">
        <v>5433</v>
      </c>
      <c r="B5460" t="str">
        <f>HYPERLINK("れ/れい　癘風・癩風・大麻風　皆かつたい也　1718　鍼灸重宝記　本郷正豊.jpg")</f>
        <v>れ/れい　癘風・癩風・大麻風　皆かつたい也　1718　鍼灸重宝記　本郷正豊.jpg</v>
      </c>
    </row>
    <row r="5461" spans="1:2" x14ac:dyDescent="0.15">
      <c r="A5461" t="s">
        <v>5434</v>
      </c>
      <c r="B5461" t="str">
        <f>HYPERLINK("れ/れき　歴節風　1220　鍼灸資生経　王執中_ページ_1.jpg")</f>
        <v>れ/れき　歴節風　1220　鍼灸資生経　王執中_ページ_1.jpg</v>
      </c>
    </row>
    <row r="5462" spans="1:2" x14ac:dyDescent="0.15">
      <c r="A5462" t="s">
        <v>5435</v>
      </c>
      <c r="B5462" t="str">
        <f>HYPERLINK("れ/れき　歴節風　1220　鍼灸資生経　王執中_ページ_2.jpg")</f>
        <v>れ/れき　歴節風　1220　鍼灸資生経　王執中_ページ_2.jpg</v>
      </c>
    </row>
    <row r="5463" spans="1:2" x14ac:dyDescent="0.15">
      <c r="A5463" t="s">
        <v>5436</v>
      </c>
      <c r="B5463" t="str">
        <f>HYPERLINK("れ/れき　歴節風　1299　続添要穴集　惟宗時俊.jpg")</f>
        <v>れ/れき　歴節風　1299　続添要穴集　惟宗時俊.jpg</v>
      </c>
    </row>
    <row r="5464" spans="1:2" x14ac:dyDescent="0.15">
      <c r="A5464" t="s">
        <v>5437</v>
      </c>
      <c r="B5464" t="str">
        <f>HYPERLINK("れ/れん　れん瘡　1686　鍼灸要法指南　岩田利斎.jpg")</f>
        <v>れ/れん　れん瘡　1686　鍼灸要法指南　岩田利斎.jpg</v>
      </c>
    </row>
    <row r="5465" spans="1:2" x14ac:dyDescent="0.15">
      <c r="A5465" t="s">
        <v>5438</v>
      </c>
      <c r="B5465" t="str">
        <f>HYPERLINK("れ/れん　攣　1669　鍼灸枢要　山本玄通_ページ_1.jpg")</f>
        <v>れ/れん　攣　1669　鍼灸枢要　山本玄通_ページ_1.jpg</v>
      </c>
    </row>
    <row r="5466" spans="1:2" x14ac:dyDescent="0.15">
      <c r="A5466" t="s">
        <v>5439</v>
      </c>
      <c r="B5466" t="str">
        <f>HYPERLINK("れ/れん　攣　1669　鍼灸枢要　山本玄通_ページ_2.jpg")</f>
        <v>れ/れん　攣　1669　鍼灸枢要　山本玄通_ページ_2.jpg</v>
      </c>
    </row>
    <row r="5467" spans="1:2" x14ac:dyDescent="0.15">
      <c r="A5467" t="s">
        <v>5440</v>
      </c>
      <c r="B5467" t="str">
        <f>HYPERLINK("れ/れん　攣　1669　鍼灸枢要　山本玄通_ページ_3.jpg")</f>
        <v>れ/れん　攣　1669　鍼灸枢要　山本玄通_ページ_3.jpg</v>
      </c>
    </row>
    <row r="5468" spans="1:2" x14ac:dyDescent="0.15">
      <c r="A5468" t="s">
        <v>5441</v>
      </c>
      <c r="B5468" t="str">
        <f>HYPERLINK("れ/れん　攣　1669　鍼灸枢要　山本玄通_ページ_4.jpg")</f>
        <v>れ/れん　攣　1669　鍼灸枢要　山本玄通_ページ_4.jpg</v>
      </c>
    </row>
    <row r="5469" spans="1:2" x14ac:dyDescent="0.15">
      <c r="A5469" t="s">
        <v>5442</v>
      </c>
      <c r="B5469" t="str">
        <f>HYPERLINK("れ/れん　攣　1800　鍼灸備要　小坂元祐.jpg")</f>
        <v>れ/れん　攣　1800　鍼灸備要　小坂元祐.jpg</v>
      </c>
    </row>
    <row r="5470" spans="1:2" x14ac:dyDescent="0.15">
      <c r="A5470" t="s">
        <v>5443</v>
      </c>
      <c r="B5470" t="str">
        <f>HYPERLINK("れ/れん　蓮根瘡　成書年未詳　灸穴集　著者未詳.jpg")</f>
        <v>れ/れん　蓮根瘡　成書年未詳　灸穴集　著者未詳.jpg</v>
      </c>
    </row>
    <row r="5471" spans="1:2" x14ac:dyDescent="0.15">
      <c r="A5471" t="s">
        <v>5444</v>
      </c>
      <c r="B5471" t="str">
        <f>HYPERLINK("れ/れん　蓮根瘡　成書年未詳　灸穴集　著者未詳_ページ_1.jpg")</f>
        <v>れ/れん　蓮根瘡　成書年未詳　灸穴集　著者未詳_ページ_1.jpg</v>
      </c>
    </row>
    <row r="5472" spans="1:2" x14ac:dyDescent="0.15">
      <c r="A5472" t="s">
        <v>5445</v>
      </c>
      <c r="B5472" t="str">
        <f>HYPERLINK("れ/れん　蓮根瘡　成書年未詳　灸穴集　著者未詳_ページ_2.jpg")</f>
        <v>れ/れん　蓮根瘡　成書年未詳　灸穴集　著者未詳_ページ_2.jpg</v>
      </c>
    </row>
    <row r="5473" spans="1:2" x14ac:dyDescent="0.15">
      <c r="A5473" t="s">
        <v>5446</v>
      </c>
      <c r="B5473" t="str">
        <f>HYPERLINK("ろ/ろう　労さい　1220　鍼灸資生経　王執中_ページ_1.jpg")</f>
        <v>ろ/ろう　労さい　1220　鍼灸資生経　王執中_ページ_1.jpg</v>
      </c>
    </row>
    <row r="5474" spans="1:2" x14ac:dyDescent="0.15">
      <c r="A5474" t="s">
        <v>5447</v>
      </c>
      <c r="B5474" t="str">
        <f>HYPERLINK("ろ/ろう　労さい　1220　鍼灸資生経　王執中_ページ_2.jpg")</f>
        <v>ろ/ろう　労さい　1220　鍼灸資生経　王執中_ページ_2.jpg</v>
      </c>
    </row>
    <row r="5475" spans="1:2" x14ac:dyDescent="0.15">
      <c r="A5475" t="s">
        <v>5448</v>
      </c>
      <c r="B5475" t="str">
        <f>HYPERLINK("ろ/ろう　労さい　1563　（癆さい）　鍼灸集要　曲直瀬道三.jpg")</f>
        <v>ろ/ろう　労さい　1563　（癆さい）　鍼灸集要　曲直瀬道三.jpg</v>
      </c>
    </row>
    <row r="5476" spans="1:2" x14ac:dyDescent="0.15">
      <c r="A5476" t="s">
        <v>5449</v>
      </c>
      <c r="B5476" t="str">
        <f>HYPERLINK("ろ/ろう　労さい　1574　兪穴参伍的法　秦宗巴.jpg")</f>
        <v>ろ/ろう　労さい　1574　兪穴参伍的法　秦宗巴.jpg</v>
      </c>
    </row>
    <row r="5477" spans="1:2" x14ac:dyDescent="0.15">
      <c r="A5477" t="s">
        <v>5450</v>
      </c>
      <c r="B5477" t="str">
        <f>HYPERLINK("ろ/ろう　労さい　1594　経脈方寸秘書　曲直瀬道三.jpg")</f>
        <v>ろ/ろう　労さい　1594　経脈方寸秘書　曲直瀬道三.jpg</v>
      </c>
    </row>
    <row r="5478" spans="1:2" x14ac:dyDescent="0.15">
      <c r="A5478" t="s">
        <v>5451</v>
      </c>
      <c r="B5478" t="str">
        <f>HYPERLINK("ろ/ろう　労さい　1607　癆さい　扁鵲新流鍼書　越齋寿閑_ページ_1.jpg")</f>
        <v>ろ/ろう　労さい　1607　癆さい　扁鵲新流鍼書　越齋寿閑_ページ_1.jpg</v>
      </c>
    </row>
    <row r="5479" spans="1:2" x14ac:dyDescent="0.15">
      <c r="A5479" t="s">
        <v>5452</v>
      </c>
      <c r="B5479" t="str">
        <f>HYPERLINK("ろ/ろう　労さい　1607　癆さい　扁鵲新流鍼書　越齋寿閑_ページ_2.jpg")</f>
        <v>ろ/ろう　労さい　1607　癆さい　扁鵲新流鍼書　越齋寿閑_ページ_2.jpg</v>
      </c>
    </row>
    <row r="5480" spans="1:2" x14ac:dyDescent="0.15">
      <c r="A5480" t="s">
        <v>5453</v>
      </c>
      <c r="B5480" t="str">
        <f>HYPERLINK("ろ/ろう　労さい　1680　癆さい　鍼灸抜萃　著者未詳.jpg")</f>
        <v>ろ/ろう　労さい　1680　癆さい　鍼灸抜萃　著者未詳.jpg</v>
      </c>
    </row>
    <row r="5481" spans="1:2" x14ac:dyDescent="0.15">
      <c r="A5481" t="s">
        <v>5454</v>
      </c>
      <c r="B5481" t="str">
        <f>HYPERLINK("ろ/ろう　労さい　1693　鍼灸要歌集　安井昌玄_ページ_1.jpg")</f>
        <v>ろ/ろう　労さい　1693　鍼灸要歌集　安井昌玄_ページ_1.jpg</v>
      </c>
    </row>
    <row r="5482" spans="1:2" x14ac:dyDescent="0.15">
      <c r="A5482" t="s">
        <v>5455</v>
      </c>
      <c r="B5482" t="str">
        <f>HYPERLINK("ろ/ろう　労さい　1693　鍼灸要歌集　安井昌玄_ページ_2.jpg")</f>
        <v>ろ/ろう　労さい　1693　鍼灸要歌集　安井昌玄_ページ_2.jpg</v>
      </c>
    </row>
    <row r="5483" spans="1:2" x14ac:dyDescent="0.15">
      <c r="A5483" t="s">
        <v>5456</v>
      </c>
      <c r="B5483" t="str">
        <f>HYPERLINK("ろ/ろう　労さい　1693　鍼灸要歌集　安井昌玄_ページ_3.jpg")</f>
        <v>ろ/ろう　労さい　1693　鍼灸要歌集　安井昌玄_ページ_3.jpg</v>
      </c>
    </row>
    <row r="5484" spans="1:2" x14ac:dyDescent="0.15">
      <c r="A5484" t="s">
        <v>5457</v>
      </c>
      <c r="B5484" t="str">
        <f>HYPERLINK("ろ/ろう　労さい　1694　癆さい　身弱き人　療治之大概集　杉山和一.jpg")</f>
        <v>ろ/ろう　労さい　1694　癆さい　身弱き人　療治之大概集　杉山和一.jpg</v>
      </c>
    </row>
    <row r="5485" spans="1:2" x14ac:dyDescent="0.15">
      <c r="A5485" t="s">
        <v>5458</v>
      </c>
      <c r="B5485" t="str">
        <f>HYPERLINK("ろ/ろう　労さい　1696　癆さい　広益鍼灸抜萃　著者未詳_ページ_1.jpg")</f>
        <v>ろ/ろう　労さい　1696　癆さい　広益鍼灸抜萃　著者未詳_ページ_1.jpg</v>
      </c>
    </row>
    <row r="5486" spans="1:2" x14ac:dyDescent="0.15">
      <c r="A5486" t="s">
        <v>5459</v>
      </c>
      <c r="B5486" t="str">
        <f>HYPERLINK("ろ/ろう　労さい　1696　癆さい　広益鍼灸抜萃　著者未詳_ページ_2.jpg")</f>
        <v>ろ/ろう　労さい　1696　癆さい　広益鍼灸抜萃　著者未詳_ページ_2.jpg</v>
      </c>
    </row>
    <row r="5487" spans="1:2" x14ac:dyDescent="0.15">
      <c r="A5487" t="s">
        <v>5460</v>
      </c>
      <c r="B5487" t="str">
        <f>HYPERLINK("ろ/ろう　労さい　1696　癆さい　広益鍼灸抜萃　著者未詳_ページ_3.jpg")</f>
        <v>ろ/ろう　労さい　1696　癆さい　広益鍼灸抜萃　著者未詳_ページ_3.jpg</v>
      </c>
    </row>
    <row r="5488" spans="1:2" x14ac:dyDescent="0.15">
      <c r="A5488" t="s">
        <v>5461</v>
      </c>
      <c r="B5488" t="str">
        <f>HYPERLINK("ろ/ろう　労さい　1718　癆さい　きのかた　鍼灸重宝記　本郷正豊_ページ_1.jpg")</f>
        <v>ろ/ろう　労さい　1718　癆さい　きのかた　鍼灸重宝記　本郷正豊_ページ_1.jpg</v>
      </c>
    </row>
    <row r="5489" spans="1:2" x14ac:dyDescent="0.15">
      <c r="A5489" t="s">
        <v>5462</v>
      </c>
      <c r="B5489" t="str">
        <f>HYPERLINK("ろ/ろう　労さい　1718　癆さい　きのかた　鍼灸重宝記　本郷正豊_ページ_2.jpg")</f>
        <v>ろ/ろう　労さい　1718　癆さい　きのかた　鍼灸重宝記　本郷正豊_ページ_2.jpg</v>
      </c>
    </row>
    <row r="5490" spans="1:2" x14ac:dyDescent="0.15">
      <c r="A5490" t="s">
        <v>5463</v>
      </c>
      <c r="B5490" t="str">
        <f>HYPERLINK("ろ/ろう　労さい　1773　鍼灸手引草　大簡室主人_ページ_1.jpg")</f>
        <v>ろ/ろう　労さい　1773　鍼灸手引草　大簡室主人_ページ_1.jpg</v>
      </c>
    </row>
    <row r="5491" spans="1:2" x14ac:dyDescent="0.15">
      <c r="A5491" t="s">
        <v>5464</v>
      </c>
      <c r="B5491" t="str">
        <f>HYPERLINK("ろ/ろう　労さい　1773　鍼灸手引草　大簡室主人_ページ_2.jpg")</f>
        <v>ろ/ろう　労さい　1773　鍼灸手引草　大簡室主人_ページ_2.jpg</v>
      </c>
    </row>
    <row r="5492" spans="1:2" x14ac:dyDescent="0.15">
      <c r="A5492" t="s">
        <v>5465</v>
      </c>
      <c r="B5492" t="str">
        <f>HYPERLINK("ろ/ろう　労さい　1792　鍼法要集　源長起_ページ_1.jpg")</f>
        <v>ろ/ろう　労さい　1792　鍼法要集　源長起_ページ_1.jpg</v>
      </c>
    </row>
    <row r="5493" spans="1:2" x14ac:dyDescent="0.15">
      <c r="A5493" t="s">
        <v>5466</v>
      </c>
      <c r="B5493" t="str">
        <f>HYPERLINK("ろ/ろう　労さい　1792　鍼法要集　源長起_ページ_2.jpg")</f>
        <v>ろ/ろう　労さい　1792　鍼法要集　源長起_ページ_2.jpg</v>
      </c>
    </row>
    <row r="5494" spans="1:2" x14ac:dyDescent="0.15">
      <c r="A5494" t="s">
        <v>5467</v>
      </c>
      <c r="B5494" t="str">
        <f>HYPERLINK("ろ/ろう　労さい　1792　鍼法要集　源長起_ページ_3.jpg")</f>
        <v>ろ/ろう　労さい　1792　鍼法要集　源長起_ページ_3.jpg</v>
      </c>
    </row>
    <row r="5495" spans="1:2" x14ac:dyDescent="0.15">
      <c r="A5495" t="s">
        <v>5468</v>
      </c>
      <c r="B5495" t="str">
        <f>HYPERLINK("ろ/ろう　労さい　1807　労擦　虚労　続名家灸選　平井庸信_ページ_1.jpg")</f>
        <v>ろ/ろう　労さい　1807　労擦　虚労　続名家灸選　平井庸信_ページ_1.jpg</v>
      </c>
    </row>
    <row r="5496" spans="1:2" x14ac:dyDescent="0.15">
      <c r="A5496" t="s">
        <v>5469</v>
      </c>
      <c r="B5496" t="str">
        <f>HYPERLINK("ろ/ろう　労さい　1807　労擦　虚労　続名家灸選　平井庸信_ページ_2.jpg")</f>
        <v>ろ/ろう　労さい　1807　労擦　虚労　続名家灸選　平井庸信_ページ_2.jpg</v>
      </c>
    </row>
    <row r="5497" spans="1:2" x14ac:dyDescent="0.15">
      <c r="A5497" t="s">
        <v>5470</v>
      </c>
      <c r="B5497" t="str">
        <f>HYPERLINK("ろ/ろう　労さい　1807　労擦　虚労　続名家灸選　平井庸信_ページ_3.jpg")</f>
        <v>ろ/ろう　労さい　1807　労擦　虚労　続名家灸選　平井庸信_ページ_3.jpg</v>
      </c>
    </row>
    <row r="5498" spans="1:2" x14ac:dyDescent="0.15">
      <c r="A5498" t="s">
        <v>5471</v>
      </c>
      <c r="B5498" t="str">
        <f>HYPERLINK("ろ/ろう　労さい　1807　労擦　虚労　続名家灸選　平井庸信_ページ_4.jpg")</f>
        <v>ろ/ろう　労さい　1807　労擦　虚労　続名家灸選　平井庸信_ページ_4.jpg</v>
      </c>
    </row>
    <row r="5499" spans="1:2" x14ac:dyDescent="0.15">
      <c r="A5499" t="s">
        <v>5472</v>
      </c>
      <c r="B5499" t="str">
        <f>HYPERLINK("ろ/ろう　労さい　1813　癆さい　名家灸選　浅井惟亨_ページ_1.jpg")</f>
        <v>ろ/ろう　労さい　1813　癆さい　名家灸選　浅井惟亨_ページ_1.jpg</v>
      </c>
    </row>
    <row r="5500" spans="1:2" x14ac:dyDescent="0.15">
      <c r="A5500" t="s">
        <v>5473</v>
      </c>
      <c r="B5500" t="str">
        <f>HYPERLINK("ろ/ろう　労さい　1813　癆さい　名家灸選　浅井惟亨_ページ_2.jpg")</f>
        <v>ろ/ろう　労さい　1813　癆さい　名家灸選　浅井惟亨_ページ_2.jpg</v>
      </c>
    </row>
    <row r="5501" spans="1:2" x14ac:dyDescent="0.15">
      <c r="A5501" t="s">
        <v>5474</v>
      </c>
      <c r="B5501" t="str">
        <f>HYPERLINK("ろ/ろう　労さい　1912年（大正01）　鍼灸手引草　久木田七郎_ページ_1.jpg")</f>
        <v>ろ/ろう　労さい　1912年（大正01）　鍼灸手引草　久木田七郎_ページ_1.jpg</v>
      </c>
    </row>
    <row r="5502" spans="1:2" x14ac:dyDescent="0.15">
      <c r="A5502" t="s">
        <v>5475</v>
      </c>
      <c r="B5502" t="str">
        <f>HYPERLINK("ろ/ろう　労さい　1912年（大正01）　鍼灸手引草　久木田七郎_ページ_2.jpg")</f>
        <v>ろ/ろう　労さい　1912年（大正01）　鍼灸手引草　久木田七郎_ページ_2.jpg</v>
      </c>
    </row>
    <row r="5503" spans="1:2" x14ac:dyDescent="0.15">
      <c r="A5503" t="s">
        <v>5476</v>
      </c>
      <c r="B5503" t="str">
        <f>HYPERLINK("ろ/ろう　労さい　らうしゆう　肺労　1887（明治20）　鍼灸備要　青山道醇_ページ_1.jpg")</f>
        <v>ろ/ろう　労さい　らうしゆう　肺労　1887（明治20）　鍼灸備要　青山道醇_ページ_1.jpg</v>
      </c>
    </row>
    <row r="5504" spans="1:2" x14ac:dyDescent="0.15">
      <c r="A5504" t="s">
        <v>5477</v>
      </c>
      <c r="B5504" t="str">
        <f>HYPERLINK("ろ/ろう　労さい　らうしゆう　肺労　1887（明治20）　鍼灸備要　青山道醇_ページ_2.jpg")</f>
        <v>ろ/ろう　労さい　らうしゆう　肺労　1887（明治20）　鍼灸備要　青山道醇_ページ_2.jpg</v>
      </c>
    </row>
    <row r="5505" spans="1:2" x14ac:dyDescent="0.15">
      <c r="A5505" t="s">
        <v>5478</v>
      </c>
      <c r="B5505" t="str">
        <f>HYPERLINK("ろ/ろう　労さい　癆さい　成書年未詳　灸穴集　著者未詳_ページ_1.jpg")</f>
        <v>ろ/ろう　労さい　癆さい　成書年未詳　灸穴集　著者未詳_ページ_1.jpg</v>
      </c>
    </row>
    <row r="5506" spans="1:2" x14ac:dyDescent="0.15">
      <c r="A5506" t="s">
        <v>5479</v>
      </c>
      <c r="B5506" t="str">
        <f>HYPERLINK("ろ/ろう　労さい　癆さい　成書年未詳　灸穴集　著者未詳_ページ_2.jpg")</f>
        <v>ろ/ろう　労さい　癆さい　成書年未詳　灸穴集　著者未詳_ページ_2.jpg</v>
      </c>
    </row>
    <row r="5507" spans="1:2" x14ac:dyDescent="0.15">
      <c r="A5507" t="s">
        <v>5480</v>
      </c>
      <c r="B5507" t="str">
        <f>HYPERLINK("ろ/ろう　労さい　癆さい　成書年未詳　灸穴集　著者未詳_ページ_3.jpg")</f>
        <v>ろ/ろう　労さい　癆さい　成書年未詳　灸穴集　著者未詳_ページ_3.jpg</v>
      </c>
    </row>
    <row r="5508" spans="1:2" x14ac:dyDescent="0.15">
      <c r="A5508" t="s">
        <v>5481</v>
      </c>
      <c r="B5508" t="str">
        <f>HYPERLINK("ろ/ろう　労さい　癆さい　成書年未詳　灸穴集　著者未詳_ページ_4.jpg")</f>
        <v>ろ/ろう　労さい　癆さい　成書年未詳　灸穴集　著者未詳_ページ_4.jpg</v>
      </c>
    </row>
    <row r="5509" spans="1:2" x14ac:dyDescent="0.15">
      <c r="A5509" t="s">
        <v>5482</v>
      </c>
      <c r="B5509" t="str">
        <f>HYPERLINK("ろ/ろう　労さい　癆さい　成書年未詳　経穴図解　著者未詳.jpg")</f>
        <v>ろ/ろう　労さい　癆さい　成書年未詳　経穴図解　著者未詳.jpg</v>
      </c>
    </row>
    <row r="5510" spans="1:2" x14ac:dyDescent="0.15">
      <c r="A5510" t="s">
        <v>5483</v>
      </c>
      <c r="B5510" t="str">
        <f>HYPERLINK("ろ/ろう　労極　1767　鍼灸則　菅沼周桂.jpg")</f>
        <v>ろ/ろう　労極　1767　鍼灸則　菅沼周桂.jpg</v>
      </c>
    </row>
    <row r="5511" spans="1:2" x14ac:dyDescent="0.15">
      <c r="A5511" t="s">
        <v>5484</v>
      </c>
      <c r="B5511" t="str">
        <f>HYPERLINK("ろ/ろう　労穴　1703　鍼灸阿是要穴　岡本一抱_ページ_1.jpg")</f>
        <v>ろ/ろう　労穴　1703　鍼灸阿是要穴　岡本一抱_ページ_1.jpg</v>
      </c>
    </row>
    <row r="5512" spans="1:2" x14ac:dyDescent="0.15">
      <c r="A5512" t="s">
        <v>5485</v>
      </c>
      <c r="B5512" t="str">
        <f>HYPERLINK("ろ/ろう　労穴　1703　鍼灸阿是要穴　岡本一抱_ページ_2.jpg")</f>
        <v>ろ/ろう　労穴　1703　鍼灸阿是要穴　岡本一抱_ページ_2.jpg</v>
      </c>
    </row>
    <row r="5513" spans="1:2" x14ac:dyDescent="0.15">
      <c r="A5513" t="s">
        <v>5486</v>
      </c>
      <c r="B5513" t="str">
        <f>HYPERLINK("ろ/ろう　労証　1329　扁鵲神応鍼灸玉龍経　元・王国瑞_ページ_1.jpg")</f>
        <v>ろ/ろう　労証　1329　扁鵲神応鍼灸玉龍経　元・王国瑞_ページ_1.jpg</v>
      </c>
    </row>
    <row r="5514" spans="1:2" x14ac:dyDescent="0.15">
      <c r="A5514" t="s">
        <v>5487</v>
      </c>
      <c r="B5514" t="str">
        <f>HYPERLINK("ろ/ろう　労証　1329　扁鵲神応鍼灸玉龍経　元・王国瑞_ページ_2.jpg")</f>
        <v>ろ/ろう　労証　1329　扁鵲神応鍼灸玉龍経　元・王国瑞_ページ_2.jpg</v>
      </c>
    </row>
    <row r="5515" spans="1:2" x14ac:dyDescent="0.15">
      <c r="A5515" t="s">
        <v>5488</v>
      </c>
      <c r="B5515" t="str">
        <f>HYPERLINK("ろ/ろう　聾癧　1329　扁鵲神応鍼灸玉龍経　元・王国瑞.jpg")</f>
        <v>ろ/ろう　聾癧　1329　扁鵲神応鍼灸玉龍経　元・王国瑞.jpg</v>
      </c>
    </row>
    <row r="5516" spans="1:2" x14ac:dyDescent="0.15">
      <c r="A5516" t="s">
        <v>5489</v>
      </c>
      <c r="B5516" t="str">
        <f>HYPERLINK("わ/わん　腕労　1220　鍼灸資生経　王執中.jpg")</f>
        <v>わ/わん　腕労　1220　鍼灸資生経　王執中.jpg</v>
      </c>
    </row>
    <row r="5517" spans="1:2" x14ac:dyDescent="0.15">
      <c r="A5517" t="s">
        <v>5490</v>
      </c>
      <c r="B5517" t="str">
        <f>HYPERLINK("わ/わん　腕痛　うでのいたみ　1780　鍼灸極秘伝　木村太沖.jpg")</f>
        <v>わ/わん　腕痛　うでのいたみ　1780　鍼灸極秘伝　木村太沖.jpg</v>
      </c>
    </row>
  </sheetData>
  <autoFilter ref="A1:B5517" xr:uid="{00000000-0009-0000-0000-000000000000}"/>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3:C34"/>
  <sheetViews>
    <sheetView zoomScale="175" zoomScaleNormal="175" workbookViewId="0">
      <selection activeCell="A13" sqref="A13"/>
    </sheetView>
  </sheetViews>
  <sheetFormatPr defaultRowHeight="13.5" x14ac:dyDescent="0.15"/>
  <cols>
    <col min="1" max="1" width="29.625" customWidth="1"/>
    <col min="2" max="2" width="75.5" customWidth="1"/>
  </cols>
  <sheetData>
    <row r="13" spans="1:3" x14ac:dyDescent="0.15">
      <c r="A13" t="s">
        <v>5531</v>
      </c>
    </row>
    <row r="14" spans="1:3" x14ac:dyDescent="0.15">
      <c r="A14" s="1" t="s">
        <v>5524</v>
      </c>
      <c r="B14" s="1" t="s">
        <v>5526</v>
      </c>
    </row>
    <row r="15" spans="1:3" x14ac:dyDescent="0.15">
      <c r="A15" s="11" t="s">
        <v>5522</v>
      </c>
      <c r="B15" s="11" t="s">
        <v>5527</v>
      </c>
    </row>
    <row r="16" spans="1:3" x14ac:dyDescent="0.15">
      <c r="A16" t="s">
        <v>5518</v>
      </c>
      <c r="B16" s="5" t="s">
        <v>5529</v>
      </c>
      <c r="C16" t="s">
        <v>5552</v>
      </c>
    </row>
    <row r="17" spans="1:2" x14ac:dyDescent="0.15">
      <c r="A17" s="4" t="s">
        <v>5517</v>
      </c>
      <c r="B17" s="4" t="s">
        <v>5551</v>
      </c>
    </row>
    <row r="18" spans="1:2" x14ac:dyDescent="0.15">
      <c r="A18" t="s">
        <v>5519</v>
      </c>
      <c r="B18" t="s">
        <v>5530</v>
      </c>
    </row>
    <row r="19" spans="1:2" x14ac:dyDescent="0.15">
      <c r="A19" t="s">
        <v>5520</v>
      </c>
      <c r="B19" t="s">
        <v>5528</v>
      </c>
    </row>
    <row r="20" spans="1:2" x14ac:dyDescent="0.15">
      <c r="A20" s="4" t="s">
        <v>5521</v>
      </c>
      <c r="B20" s="4" t="s">
        <v>5551</v>
      </c>
    </row>
    <row r="21" spans="1:2" x14ac:dyDescent="0.15">
      <c r="A21" t="s">
        <v>5548</v>
      </c>
      <c r="B21" t="s">
        <v>5549</v>
      </c>
    </row>
    <row r="22" spans="1:2" x14ac:dyDescent="0.15">
      <c r="A22" s="1" t="s">
        <v>5523</v>
      </c>
      <c r="B22" s="1" t="s">
        <v>5526</v>
      </c>
    </row>
    <row r="23" spans="1:2" x14ac:dyDescent="0.15">
      <c r="A23" s="1" t="s">
        <v>5525</v>
      </c>
      <c r="B23" s="1" t="s">
        <v>5526</v>
      </c>
    </row>
    <row r="25" spans="1:2" x14ac:dyDescent="0.15">
      <c r="A25" t="s">
        <v>5550</v>
      </c>
    </row>
    <row r="26" spans="1:2" x14ac:dyDescent="0.15">
      <c r="A26" s="6" t="s">
        <v>5536</v>
      </c>
      <c r="B26" t="s">
        <v>5545</v>
      </c>
    </row>
    <row r="27" spans="1:2" x14ac:dyDescent="0.15">
      <c r="A27" s="6" t="s">
        <v>5535</v>
      </c>
      <c r="B27" t="s">
        <v>5546</v>
      </c>
    </row>
    <row r="28" spans="1:2" x14ac:dyDescent="0.15">
      <c r="A28" s="8" t="s">
        <v>5532</v>
      </c>
      <c r="B28" s="9" t="s">
        <v>5543</v>
      </c>
    </row>
    <row r="29" spans="1:2" x14ac:dyDescent="0.15">
      <c r="A29" s="8" t="s">
        <v>5534</v>
      </c>
      <c r="B29" s="9" t="s">
        <v>5541</v>
      </c>
    </row>
    <row r="30" spans="1:2" x14ac:dyDescent="0.15">
      <c r="A30" s="12" t="s">
        <v>5537</v>
      </c>
      <c r="B30" s="3" t="s">
        <v>5544</v>
      </c>
    </row>
    <row r="31" spans="1:2" x14ac:dyDescent="0.15">
      <c r="A31" s="12" t="s">
        <v>5540</v>
      </c>
      <c r="B31" s="3" t="s">
        <v>5544</v>
      </c>
    </row>
    <row r="32" spans="1:2" x14ac:dyDescent="0.15">
      <c r="A32" s="10" t="s">
        <v>5538</v>
      </c>
      <c r="B32" s="11" t="s">
        <v>5547</v>
      </c>
    </row>
    <row r="33" spans="1:2" x14ac:dyDescent="0.15">
      <c r="A33" s="7" t="s">
        <v>5539</v>
      </c>
      <c r="B33" s="1" t="s">
        <v>5526</v>
      </c>
    </row>
    <row r="34" spans="1:2" x14ac:dyDescent="0.15">
      <c r="A34" s="6" t="s">
        <v>5533</v>
      </c>
      <c r="B34" t="s">
        <v>5542</v>
      </c>
    </row>
  </sheetData>
  <sortState xmlns:xlrd2="http://schemas.microsoft.com/office/spreadsheetml/2017/richdata2" ref="A1:A11">
    <sortCondition ref="A1"/>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zoomScale="205" zoomScaleNormal="205" workbookViewId="0"/>
  </sheetViews>
  <sheetFormatPr defaultRowHeight="13.5" x14ac:dyDescent="0.15"/>
  <cols>
    <col min="1" max="1" width="43.25" customWidth="1"/>
    <col min="2" max="2" width="37" customWidth="1"/>
  </cols>
  <sheetData>
    <row r="1" spans="1:1" x14ac:dyDescent="0.15">
      <c r="A1" t="s">
        <v>5553</v>
      </c>
    </row>
    <row r="2" spans="1:1" x14ac:dyDescent="0.15">
      <c r="A2" t="s">
        <v>5554</v>
      </c>
    </row>
    <row r="3" spans="1:1" x14ac:dyDescent="0.15">
      <c r="A3" t="s">
        <v>5555</v>
      </c>
    </row>
    <row r="4" spans="1:1" x14ac:dyDescent="0.15">
      <c r="A4" t="s">
        <v>5556</v>
      </c>
    </row>
    <row r="5" spans="1:1" x14ac:dyDescent="0.15">
      <c r="A5" t="s">
        <v>5557</v>
      </c>
    </row>
    <row r="6" spans="1:1" x14ac:dyDescent="0.15">
      <c r="A6" t="s">
        <v>5558</v>
      </c>
    </row>
    <row r="7" spans="1:1" x14ac:dyDescent="0.15">
      <c r="A7" t="s">
        <v>5559</v>
      </c>
    </row>
    <row r="8" spans="1:1" x14ac:dyDescent="0.15">
      <c r="A8" t="s">
        <v>5560</v>
      </c>
    </row>
    <row r="9" spans="1:1" x14ac:dyDescent="0.15">
      <c r="A9" t="s">
        <v>5561</v>
      </c>
    </row>
    <row r="10" spans="1:1" x14ac:dyDescent="0.15">
      <c r="A10" t="s">
        <v>5562</v>
      </c>
    </row>
    <row r="11" spans="1:1" x14ac:dyDescent="0.15">
      <c r="A11" t="s">
        <v>5563</v>
      </c>
    </row>
    <row r="12" spans="1:1" x14ac:dyDescent="0.15">
      <c r="A12" t="s">
        <v>5564</v>
      </c>
    </row>
    <row r="13" spans="1:1" x14ac:dyDescent="0.15">
      <c r="A13" t="s">
        <v>5565</v>
      </c>
    </row>
    <row r="14" spans="1:1" x14ac:dyDescent="0.15">
      <c r="A14" t="s">
        <v>5566</v>
      </c>
    </row>
    <row r="15" spans="1:1" x14ac:dyDescent="0.15">
      <c r="A15" t="s">
        <v>5567</v>
      </c>
    </row>
    <row r="16" spans="1:1" x14ac:dyDescent="0.15">
      <c r="A16" t="s">
        <v>5568</v>
      </c>
    </row>
    <row r="17" spans="1:1" x14ac:dyDescent="0.15">
      <c r="A17" t="s">
        <v>5569</v>
      </c>
    </row>
    <row r="18" spans="1:1" x14ac:dyDescent="0.15">
      <c r="A18" t="s">
        <v>5570</v>
      </c>
    </row>
    <row r="19" spans="1:1" x14ac:dyDescent="0.15">
      <c r="A19" t="s">
        <v>5571</v>
      </c>
    </row>
    <row r="20" spans="1:1" x14ac:dyDescent="0.15">
      <c r="A20" t="s">
        <v>5572</v>
      </c>
    </row>
    <row r="21" spans="1:1" x14ac:dyDescent="0.15">
      <c r="A21" t="s">
        <v>5573</v>
      </c>
    </row>
    <row r="22" spans="1:1" x14ac:dyDescent="0.15">
      <c r="A22" t="s">
        <v>5574</v>
      </c>
    </row>
    <row r="23" spans="1:1" x14ac:dyDescent="0.15">
      <c r="A23" t="s">
        <v>5575</v>
      </c>
    </row>
    <row r="24" spans="1:1" x14ac:dyDescent="0.15">
      <c r="A24" t="s">
        <v>5576</v>
      </c>
    </row>
    <row r="25" spans="1:1" x14ac:dyDescent="0.15">
      <c r="A25" t="s">
        <v>5577</v>
      </c>
    </row>
    <row r="26" spans="1:1" x14ac:dyDescent="0.15">
      <c r="A26" t="s">
        <v>5578</v>
      </c>
    </row>
    <row r="27" spans="1:1" x14ac:dyDescent="0.15">
      <c r="A27" t="s">
        <v>5579</v>
      </c>
    </row>
    <row r="28" spans="1:1" x14ac:dyDescent="0.15">
      <c r="A28" t="s">
        <v>5580</v>
      </c>
    </row>
    <row r="29" spans="1:1" x14ac:dyDescent="0.15">
      <c r="A29" t="s">
        <v>5581</v>
      </c>
    </row>
    <row r="30" spans="1:1" x14ac:dyDescent="0.15">
      <c r="A30" t="s">
        <v>5582</v>
      </c>
    </row>
    <row r="31" spans="1:1" x14ac:dyDescent="0.15">
      <c r="A31" t="s">
        <v>5583</v>
      </c>
    </row>
    <row r="32" spans="1:1" x14ac:dyDescent="0.15">
      <c r="A32" t="s">
        <v>5584</v>
      </c>
    </row>
    <row r="33" spans="1:1" x14ac:dyDescent="0.15">
      <c r="A33" t="s">
        <v>5585</v>
      </c>
    </row>
    <row r="34" spans="1:1" x14ac:dyDescent="0.15">
      <c r="A34" t="s">
        <v>5586</v>
      </c>
    </row>
    <row r="35" spans="1:1" x14ac:dyDescent="0.15">
      <c r="A35" t="s">
        <v>5587</v>
      </c>
    </row>
    <row r="36" spans="1:1" x14ac:dyDescent="0.15">
      <c r="A36" t="s">
        <v>5588</v>
      </c>
    </row>
    <row r="37" spans="1:1" x14ac:dyDescent="0.15">
      <c r="A37" t="s">
        <v>5589</v>
      </c>
    </row>
    <row r="38" spans="1:1" x14ac:dyDescent="0.15">
      <c r="A38" t="s">
        <v>5590</v>
      </c>
    </row>
    <row r="39" spans="1:1" x14ac:dyDescent="0.15">
      <c r="A39" t="s">
        <v>5591</v>
      </c>
    </row>
    <row r="40" spans="1:1" x14ac:dyDescent="0.15">
      <c r="A40" t="s">
        <v>5592</v>
      </c>
    </row>
    <row r="41" spans="1:1" x14ac:dyDescent="0.15">
      <c r="A41" t="s">
        <v>5593</v>
      </c>
    </row>
    <row r="42" spans="1:1" x14ac:dyDescent="0.15">
      <c r="A42" t="s">
        <v>5594</v>
      </c>
    </row>
    <row r="43" spans="1:1" x14ac:dyDescent="0.15">
      <c r="A43" t="s">
        <v>5595</v>
      </c>
    </row>
    <row r="44" spans="1:1" x14ac:dyDescent="0.15">
      <c r="A44" t="s">
        <v>5596</v>
      </c>
    </row>
    <row r="45" spans="1:1" x14ac:dyDescent="0.15">
      <c r="A45" t="s">
        <v>5597</v>
      </c>
    </row>
    <row r="46" spans="1:1" x14ac:dyDescent="0.15">
      <c r="A46" t="s">
        <v>5598</v>
      </c>
    </row>
    <row r="47" spans="1:1" x14ac:dyDescent="0.15">
      <c r="A47" t="s">
        <v>5599</v>
      </c>
    </row>
    <row r="48" spans="1:1" x14ac:dyDescent="0.15">
      <c r="A48" t="s">
        <v>5600</v>
      </c>
    </row>
    <row r="49" spans="1:1" x14ac:dyDescent="0.15">
      <c r="A49" t="s">
        <v>5601</v>
      </c>
    </row>
    <row r="50" spans="1:1" x14ac:dyDescent="0.15">
      <c r="A50" t="s">
        <v>5602</v>
      </c>
    </row>
    <row r="51" spans="1:1" x14ac:dyDescent="0.15">
      <c r="A51" t="s">
        <v>5603</v>
      </c>
    </row>
    <row r="52" spans="1:1" x14ac:dyDescent="0.15">
      <c r="A52" t="s">
        <v>5604</v>
      </c>
    </row>
    <row r="53" spans="1:1" x14ac:dyDescent="0.15">
      <c r="A53" t="s">
        <v>5605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6"/>
  <sheetViews>
    <sheetView zoomScale="250" zoomScaleNormal="250" workbookViewId="0">
      <pane ySplit="1" topLeftCell="A56" activePane="bottomLeft" state="frozen"/>
      <selection pane="bottomLeft"/>
    </sheetView>
  </sheetViews>
  <sheetFormatPr defaultRowHeight="13.5" x14ac:dyDescent="0.15"/>
  <cols>
    <col min="1" max="1" width="12.625" customWidth="1"/>
    <col min="2" max="2" width="15.75" customWidth="1"/>
    <col min="3" max="3" width="27.25" customWidth="1"/>
    <col min="4" max="4" width="17.75" customWidth="1"/>
  </cols>
  <sheetData>
    <row r="1" spans="1:4" x14ac:dyDescent="0.15">
      <c r="A1" s="1" t="s">
        <v>5606</v>
      </c>
      <c r="B1" s="1" t="s">
        <v>5621</v>
      </c>
      <c r="C1" s="1" t="s">
        <v>5607</v>
      </c>
      <c r="D1" s="1" t="s">
        <v>5608</v>
      </c>
    </row>
    <row r="2" spans="1:4" x14ac:dyDescent="0.15">
      <c r="A2" t="s">
        <v>5609</v>
      </c>
      <c r="B2" t="s">
        <v>5610</v>
      </c>
      <c r="C2" t="s">
        <v>5611</v>
      </c>
      <c r="D2" t="s">
        <v>5612</v>
      </c>
    </row>
    <row r="3" spans="1:4" x14ac:dyDescent="0.15">
      <c r="A3" t="s">
        <v>5613</v>
      </c>
      <c r="B3" t="s">
        <v>5614</v>
      </c>
      <c r="C3" t="s">
        <v>5615</v>
      </c>
      <c r="D3" t="s">
        <v>5616</v>
      </c>
    </row>
    <row r="4" spans="1:4" x14ac:dyDescent="0.15">
      <c r="A4" t="s">
        <v>5617</v>
      </c>
      <c r="B4" t="s">
        <v>5618</v>
      </c>
      <c r="C4" t="s">
        <v>5619</v>
      </c>
      <c r="D4" t="s">
        <v>5620</v>
      </c>
    </row>
    <row r="5" spans="1:4" x14ac:dyDescent="0.15">
      <c r="A5" t="s">
        <v>5622</v>
      </c>
      <c r="B5" t="s">
        <v>5623</v>
      </c>
      <c r="C5" t="s">
        <v>5624</v>
      </c>
      <c r="D5" t="s">
        <v>5625</v>
      </c>
    </row>
    <row r="6" spans="1:4" x14ac:dyDescent="0.15">
      <c r="A6" t="s">
        <v>5682</v>
      </c>
      <c r="B6" t="s">
        <v>5683</v>
      </c>
      <c r="C6" t="s">
        <v>5684</v>
      </c>
      <c r="D6" t="s">
        <v>5685</v>
      </c>
    </row>
    <row r="7" spans="1:4" x14ac:dyDescent="0.15">
      <c r="A7" t="s">
        <v>5626</v>
      </c>
      <c r="B7" t="s">
        <v>5627</v>
      </c>
      <c r="C7" t="s">
        <v>5628</v>
      </c>
      <c r="D7" t="s">
        <v>5629</v>
      </c>
    </row>
    <row r="8" spans="1:4" x14ac:dyDescent="0.15">
      <c r="A8" t="s">
        <v>5686</v>
      </c>
      <c r="B8" t="s">
        <v>5687</v>
      </c>
      <c r="C8" t="s">
        <v>5688</v>
      </c>
      <c r="D8" t="s">
        <v>5689</v>
      </c>
    </row>
    <row r="9" spans="1:4" x14ac:dyDescent="0.15">
      <c r="A9" t="s">
        <v>5690</v>
      </c>
      <c r="B9" t="s">
        <v>5691</v>
      </c>
      <c r="C9" t="s">
        <v>5692</v>
      </c>
      <c r="D9" t="s">
        <v>5693</v>
      </c>
    </row>
    <row r="10" spans="1:4" x14ac:dyDescent="0.15">
      <c r="A10" t="s">
        <v>5630</v>
      </c>
      <c r="B10" t="s">
        <v>5631</v>
      </c>
      <c r="C10" t="s">
        <v>5632</v>
      </c>
      <c r="D10" t="s">
        <v>5633</v>
      </c>
    </row>
    <row r="11" spans="1:4" x14ac:dyDescent="0.15">
      <c r="A11" t="s">
        <v>5694</v>
      </c>
      <c r="B11" t="s">
        <v>5695</v>
      </c>
      <c r="C11" t="s">
        <v>5696</v>
      </c>
      <c r="D11" t="s">
        <v>5697</v>
      </c>
    </row>
    <row r="12" spans="1:4" x14ac:dyDescent="0.15">
      <c r="A12" t="s">
        <v>5698</v>
      </c>
      <c r="B12" t="s">
        <v>5699</v>
      </c>
      <c r="C12" t="s">
        <v>5700</v>
      </c>
      <c r="D12" t="s">
        <v>5701</v>
      </c>
    </row>
    <row r="13" spans="1:4" x14ac:dyDescent="0.15">
      <c r="A13" t="s">
        <v>5702</v>
      </c>
      <c r="B13" t="s">
        <v>5703</v>
      </c>
      <c r="C13" t="s">
        <v>5619</v>
      </c>
      <c r="D13" t="s">
        <v>5704</v>
      </c>
    </row>
    <row r="14" spans="1:4" x14ac:dyDescent="0.15">
      <c r="A14" t="s">
        <v>5705</v>
      </c>
      <c r="B14" t="s">
        <v>5706</v>
      </c>
      <c r="C14" t="s">
        <v>5707</v>
      </c>
      <c r="D14" t="s">
        <v>5708</v>
      </c>
    </row>
    <row r="15" spans="1:4" x14ac:dyDescent="0.15">
      <c r="A15" t="s">
        <v>5634</v>
      </c>
      <c r="B15" t="s">
        <v>5635</v>
      </c>
      <c r="C15" t="s">
        <v>5636</v>
      </c>
      <c r="D15" t="s">
        <v>5637</v>
      </c>
    </row>
    <row r="16" spans="1:4" x14ac:dyDescent="0.15">
      <c r="A16" t="s">
        <v>5638</v>
      </c>
      <c r="B16" t="s">
        <v>5639</v>
      </c>
      <c r="C16" t="s">
        <v>5640</v>
      </c>
      <c r="D16" t="s">
        <v>5641</v>
      </c>
    </row>
    <row r="17" spans="1:4" x14ac:dyDescent="0.15">
      <c r="A17" t="s">
        <v>5642</v>
      </c>
      <c r="B17" t="s">
        <v>5643</v>
      </c>
      <c r="C17" t="s">
        <v>5644</v>
      </c>
      <c r="D17" t="s">
        <v>5645</v>
      </c>
    </row>
    <row r="18" spans="1:4" x14ac:dyDescent="0.15">
      <c r="A18" t="s">
        <v>5646</v>
      </c>
      <c r="B18" t="s">
        <v>5647</v>
      </c>
      <c r="C18" t="s">
        <v>5648</v>
      </c>
      <c r="D18" t="s">
        <v>5649</v>
      </c>
    </row>
    <row r="19" spans="1:4" x14ac:dyDescent="0.15">
      <c r="A19" t="s">
        <v>5709</v>
      </c>
      <c r="B19" t="s">
        <v>5710</v>
      </c>
      <c r="C19" t="s">
        <v>5711</v>
      </c>
      <c r="D19" t="s">
        <v>5709</v>
      </c>
    </row>
    <row r="20" spans="1:4" x14ac:dyDescent="0.15">
      <c r="A20" t="s">
        <v>5650</v>
      </c>
      <c r="B20" t="s">
        <v>5651</v>
      </c>
      <c r="C20" t="s">
        <v>5652</v>
      </c>
      <c r="D20" t="s">
        <v>5653</v>
      </c>
    </row>
    <row r="21" spans="1:4" x14ac:dyDescent="0.15">
      <c r="A21" t="s">
        <v>5654</v>
      </c>
      <c r="B21" t="s">
        <v>5655</v>
      </c>
      <c r="C21" t="s">
        <v>5656</v>
      </c>
      <c r="D21" t="s">
        <v>5657</v>
      </c>
    </row>
    <row r="22" spans="1:4" x14ac:dyDescent="0.15">
      <c r="A22" t="s">
        <v>5658</v>
      </c>
      <c r="B22" t="s">
        <v>5659</v>
      </c>
      <c r="C22" t="s">
        <v>5660</v>
      </c>
      <c r="D22" t="s">
        <v>5661</v>
      </c>
    </row>
    <row r="23" spans="1:4" x14ac:dyDescent="0.15">
      <c r="A23" t="s">
        <v>5712</v>
      </c>
      <c r="B23" t="s">
        <v>5713</v>
      </c>
      <c r="C23" t="s">
        <v>5714</v>
      </c>
      <c r="D23" t="s">
        <v>5715</v>
      </c>
    </row>
    <row r="24" spans="1:4" x14ac:dyDescent="0.15">
      <c r="A24" t="s">
        <v>5662</v>
      </c>
      <c r="B24" t="s">
        <v>5663</v>
      </c>
      <c r="C24" t="s">
        <v>5664</v>
      </c>
      <c r="D24" t="s">
        <v>5665</v>
      </c>
    </row>
    <row r="25" spans="1:4" x14ac:dyDescent="0.15">
      <c r="A25" t="s">
        <v>5666</v>
      </c>
      <c r="B25" t="s">
        <v>5667</v>
      </c>
      <c r="C25" t="s">
        <v>5668</v>
      </c>
      <c r="D25" t="s">
        <v>5669</v>
      </c>
    </row>
    <row r="26" spans="1:4" x14ac:dyDescent="0.15">
      <c r="A26" t="s">
        <v>5670</v>
      </c>
      <c r="B26" t="s">
        <v>5671</v>
      </c>
      <c r="C26" t="s">
        <v>5672</v>
      </c>
      <c r="D26" t="s">
        <v>5673</v>
      </c>
    </row>
    <row r="27" spans="1:4" x14ac:dyDescent="0.15">
      <c r="A27" t="s">
        <v>5674</v>
      </c>
      <c r="B27" t="s">
        <v>5675</v>
      </c>
      <c r="C27" t="s">
        <v>5676</v>
      </c>
      <c r="D27" t="s">
        <v>5677</v>
      </c>
    </row>
    <row r="28" spans="1:4" x14ac:dyDescent="0.15">
      <c r="A28" t="s">
        <v>5678</v>
      </c>
      <c r="B28" t="s">
        <v>5679</v>
      </c>
      <c r="C28" t="s">
        <v>5680</v>
      </c>
      <c r="D28" t="s">
        <v>5681</v>
      </c>
    </row>
    <row r="29" spans="1:4" x14ac:dyDescent="0.15">
      <c r="A29" t="s">
        <v>5716</v>
      </c>
      <c r="B29" t="s">
        <v>5717</v>
      </c>
      <c r="C29" t="s">
        <v>5718</v>
      </c>
      <c r="D29" t="s">
        <v>5719</v>
      </c>
    </row>
    <row r="30" spans="1:4" x14ac:dyDescent="0.15">
      <c r="A30" t="s">
        <v>5720</v>
      </c>
      <c r="B30" t="s">
        <v>5721</v>
      </c>
      <c r="C30" t="s">
        <v>5722</v>
      </c>
      <c r="D30" t="s">
        <v>5723</v>
      </c>
    </row>
    <row r="31" spans="1:4" x14ac:dyDescent="0.15">
      <c r="A31" t="s">
        <v>5724</v>
      </c>
      <c r="B31" t="s">
        <v>5725</v>
      </c>
      <c r="C31" t="s">
        <v>5726</v>
      </c>
      <c r="D31" t="s">
        <v>5727</v>
      </c>
    </row>
    <row r="32" spans="1:4" x14ac:dyDescent="0.15">
      <c r="A32" t="s">
        <v>5728</v>
      </c>
      <c r="B32" t="s">
        <v>5729</v>
      </c>
      <c r="C32" t="s">
        <v>5730</v>
      </c>
      <c r="D32" t="s">
        <v>5731</v>
      </c>
    </row>
    <row r="33" spans="1:4" x14ac:dyDescent="0.15">
      <c r="A33" t="s">
        <v>5732</v>
      </c>
      <c r="B33" t="s">
        <v>5733</v>
      </c>
      <c r="C33" t="s">
        <v>5734</v>
      </c>
      <c r="D33" t="s">
        <v>5735</v>
      </c>
    </row>
    <row r="34" spans="1:4" x14ac:dyDescent="0.15">
      <c r="A34" t="s">
        <v>5736</v>
      </c>
      <c r="B34" t="s">
        <v>5737</v>
      </c>
      <c r="C34" t="s">
        <v>5738</v>
      </c>
      <c r="D34" t="s">
        <v>5739</v>
      </c>
    </row>
    <row r="35" spans="1:4" x14ac:dyDescent="0.15">
      <c r="A35" t="s">
        <v>5740</v>
      </c>
      <c r="B35" t="s">
        <v>5741</v>
      </c>
      <c r="C35" t="s">
        <v>5742</v>
      </c>
      <c r="D35" t="s">
        <v>5740</v>
      </c>
    </row>
    <row r="36" spans="1:4" x14ac:dyDescent="0.15">
      <c r="A36" t="s">
        <v>5743</v>
      </c>
      <c r="B36" t="s">
        <v>5744</v>
      </c>
      <c r="C36" t="s">
        <v>5745</v>
      </c>
      <c r="D36" t="s">
        <v>5746</v>
      </c>
    </row>
    <row r="37" spans="1:4" x14ac:dyDescent="0.15">
      <c r="A37" t="s">
        <v>5747</v>
      </c>
      <c r="B37" t="s">
        <v>5748</v>
      </c>
      <c r="C37" t="s">
        <v>5749</v>
      </c>
      <c r="D37" t="s">
        <v>5750</v>
      </c>
    </row>
    <row r="38" spans="1:4" x14ac:dyDescent="0.15">
      <c r="A38" t="s">
        <v>5751</v>
      </c>
      <c r="B38" t="s">
        <v>5752</v>
      </c>
      <c r="C38" t="s">
        <v>5753</v>
      </c>
      <c r="D38" t="s">
        <v>5754</v>
      </c>
    </row>
    <row r="39" spans="1:4" x14ac:dyDescent="0.15">
      <c r="A39" t="s">
        <v>5755</v>
      </c>
      <c r="B39" t="s">
        <v>5756</v>
      </c>
      <c r="C39" t="s">
        <v>5757</v>
      </c>
      <c r="D39" t="s">
        <v>5758</v>
      </c>
    </row>
    <row r="40" spans="1:4" x14ac:dyDescent="0.15">
      <c r="A40" t="s">
        <v>5759</v>
      </c>
      <c r="B40" t="s">
        <v>5760</v>
      </c>
      <c r="C40" t="s">
        <v>5761</v>
      </c>
      <c r="D40" t="s">
        <v>5762</v>
      </c>
    </row>
    <row r="41" spans="1:4" x14ac:dyDescent="0.15">
      <c r="A41" t="s">
        <v>5763</v>
      </c>
      <c r="B41" t="s">
        <v>5764</v>
      </c>
      <c r="C41" t="s">
        <v>5765</v>
      </c>
      <c r="D41" t="s">
        <v>5763</v>
      </c>
    </row>
    <row r="42" spans="1:4" x14ac:dyDescent="0.15">
      <c r="A42" t="s">
        <v>5766</v>
      </c>
      <c r="B42" t="s">
        <v>5767</v>
      </c>
      <c r="C42" t="s">
        <v>5768</v>
      </c>
      <c r="D42" t="s">
        <v>5769</v>
      </c>
    </row>
    <row r="43" spans="1:4" x14ac:dyDescent="0.15">
      <c r="A43" t="s">
        <v>5770</v>
      </c>
      <c r="B43" t="s">
        <v>5771</v>
      </c>
      <c r="C43" t="s">
        <v>5772</v>
      </c>
      <c r="D43" t="s">
        <v>5773</v>
      </c>
    </row>
    <row r="44" spans="1:4" x14ac:dyDescent="0.15">
      <c r="A44" t="s">
        <v>5774</v>
      </c>
      <c r="B44" t="s">
        <v>5775</v>
      </c>
      <c r="C44" t="s">
        <v>5776</v>
      </c>
      <c r="D44" t="s">
        <v>5777</v>
      </c>
    </row>
    <row r="45" spans="1:4" x14ac:dyDescent="0.15">
      <c r="A45" t="s">
        <v>5778</v>
      </c>
      <c r="B45" t="s">
        <v>5779</v>
      </c>
      <c r="C45" t="s">
        <v>5780</v>
      </c>
      <c r="D45" t="s">
        <v>5781</v>
      </c>
    </row>
    <row r="46" spans="1:4" x14ac:dyDescent="0.15">
      <c r="A46" t="s">
        <v>5782</v>
      </c>
      <c r="B46" t="s">
        <v>5783</v>
      </c>
      <c r="C46" t="s">
        <v>5784</v>
      </c>
      <c r="D46" t="s">
        <v>5785</v>
      </c>
    </row>
    <row r="47" spans="1:4" x14ac:dyDescent="0.15">
      <c r="A47" t="s">
        <v>5786</v>
      </c>
      <c r="B47" t="s">
        <v>5787</v>
      </c>
      <c r="C47" t="s">
        <v>5788</v>
      </c>
      <c r="D47" t="s">
        <v>5789</v>
      </c>
    </row>
    <row r="48" spans="1:4" x14ac:dyDescent="0.15">
      <c r="A48" t="s">
        <v>5790</v>
      </c>
      <c r="B48" t="s">
        <v>5791</v>
      </c>
      <c r="C48" t="s">
        <v>5792</v>
      </c>
      <c r="D48" t="s">
        <v>5793</v>
      </c>
    </row>
    <row r="49" spans="1:4" x14ac:dyDescent="0.15">
      <c r="A49" t="s">
        <v>5794</v>
      </c>
      <c r="B49" t="s">
        <v>5795</v>
      </c>
      <c r="C49" t="s">
        <v>5796</v>
      </c>
      <c r="D49" t="s">
        <v>5797</v>
      </c>
    </row>
    <row r="50" spans="1:4" x14ac:dyDescent="0.15">
      <c r="A50" t="s">
        <v>5798</v>
      </c>
      <c r="B50" t="s">
        <v>5799</v>
      </c>
      <c r="C50" t="s">
        <v>5800</v>
      </c>
      <c r="D50" t="s">
        <v>5801</v>
      </c>
    </row>
    <row r="51" spans="1:4" x14ac:dyDescent="0.15">
      <c r="A51" t="s">
        <v>5802</v>
      </c>
      <c r="B51" t="s">
        <v>5803</v>
      </c>
      <c r="C51" t="s">
        <v>5804</v>
      </c>
      <c r="D51" t="s">
        <v>5805</v>
      </c>
    </row>
    <row r="52" spans="1:4" x14ac:dyDescent="0.15">
      <c r="A52" t="s">
        <v>5806</v>
      </c>
      <c r="B52" t="s">
        <v>5807</v>
      </c>
      <c r="C52" t="s">
        <v>5808</v>
      </c>
      <c r="D52" t="s">
        <v>5809</v>
      </c>
    </row>
    <row r="53" spans="1:4" x14ac:dyDescent="0.15">
      <c r="A53" t="s">
        <v>5810</v>
      </c>
      <c r="B53" t="s">
        <v>5811</v>
      </c>
      <c r="C53" t="s">
        <v>5812</v>
      </c>
      <c r="D53" t="s">
        <v>5813</v>
      </c>
    </row>
    <row r="54" spans="1:4" x14ac:dyDescent="0.15">
      <c r="A54" t="s">
        <v>5814</v>
      </c>
      <c r="B54" t="s">
        <v>5815</v>
      </c>
      <c r="C54" t="s">
        <v>5816</v>
      </c>
      <c r="D54" t="s">
        <v>5817</v>
      </c>
    </row>
    <row r="55" spans="1:4" x14ac:dyDescent="0.15">
      <c r="A55" t="s">
        <v>5818</v>
      </c>
      <c r="B55" t="s">
        <v>5819</v>
      </c>
      <c r="C55" t="s">
        <v>5820</v>
      </c>
      <c r="D55" t="s">
        <v>5821</v>
      </c>
    </row>
    <row r="56" spans="1:4" x14ac:dyDescent="0.15">
      <c r="A56" t="s">
        <v>5822</v>
      </c>
      <c r="B56" t="s">
        <v>5823</v>
      </c>
      <c r="C56" t="s">
        <v>5824</v>
      </c>
      <c r="D56" t="s">
        <v>5825</v>
      </c>
    </row>
    <row r="57" spans="1:4" x14ac:dyDescent="0.15">
      <c r="A57" t="s">
        <v>5826</v>
      </c>
      <c r="B57" t="s">
        <v>5827</v>
      </c>
      <c r="C57" t="s">
        <v>5828</v>
      </c>
      <c r="D57" t="s">
        <v>5829</v>
      </c>
    </row>
    <row r="58" spans="1:4" x14ac:dyDescent="0.15">
      <c r="A58" t="s">
        <v>5830</v>
      </c>
      <c r="B58" t="s">
        <v>5831</v>
      </c>
      <c r="C58" t="s">
        <v>5832</v>
      </c>
      <c r="D58" t="s">
        <v>5833</v>
      </c>
    </row>
    <row r="59" spans="1:4" x14ac:dyDescent="0.15">
      <c r="A59" t="s">
        <v>5834</v>
      </c>
      <c r="B59" t="s">
        <v>5835</v>
      </c>
      <c r="C59" t="s">
        <v>5836</v>
      </c>
      <c r="D59" t="s">
        <v>5837</v>
      </c>
    </row>
    <row r="60" spans="1:4" x14ac:dyDescent="0.15">
      <c r="A60" t="s">
        <v>5838</v>
      </c>
      <c r="B60" t="s">
        <v>5839</v>
      </c>
      <c r="C60" t="s">
        <v>5840</v>
      </c>
      <c r="D60" t="s">
        <v>5841</v>
      </c>
    </row>
    <row r="61" spans="1:4" x14ac:dyDescent="0.15">
      <c r="A61" t="s">
        <v>5842</v>
      </c>
      <c r="B61" t="s">
        <v>5843</v>
      </c>
      <c r="C61" t="s">
        <v>5844</v>
      </c>
      <c r="D61" t="s">
        <v>5845</v>
      </c>
    </row>
    <row r="62" spans="1:4" x14ac:dyDescent="0.15">
      <c r="A62" t="s">
        <v>5797</v>
      </c>
      <c r="B62" t="s">
        <v>5846</v>
      </c>
      <c r="C62" t="s">
        <v>5847</v>
      </c>
      <c r="D62" t="s">
        <v>5848</v>
      </c>
    </row>
    <row r="63" spans="1:4" x14ac:dyDescent="0.15">
      <c r="A63" t="s">
        <v>5849</v>
      </c>
      <c r="B63" t="s">
        <v>5850</v>
      </c>
      <c r="C63" t="s">
        <v>5851</v>
      </c>
      <c r="D63" t="s">
        <v>5852</v>
      </c>
    </row>
    <row r="64" spans="1:4" x14ac:dyDescent="0.15">
      <c r="A64" t="s">
        <v>5853</v>
      </c>
      <c r="B64" t="s">
        <v>5854</v>
      </c>
      <c r="C64" t="s">
        <v>5855</v>
      </c>
      <c r="D64" t="s">
        <v>5856</v>
      </c>
    </row>
    <row r="65" spans="1:4" x14ac:dyDescent="0.15">
      <c r="A65" t="s">
        <v>5857</v>
      </c>
      <c r="B65" t="s">
        <v>5858</v>
      </c>
      <c r="C65" t="s">
        <v>5859</v>
      </c>
      <c r="D65" t="s">
        <v>5860</v>
      </c>
    </row>
    <row r="66" spans="1:4" x14ac:dyDescent="0.15">
      <c r="A66" t="s">
        <v>5861</v>
      </c>
      <c r="B66" t="s">
        <v>5862</v>
      </c>
      <c r="C66" t="s">
        <v>5863</v>
      </c>
      <c r="D66" t="s">
        <v>5864</v>
      </c>
    </row>
    <row r="67" spans="1:4" x14ac:dyDescent="0.15">
      <c r="A67" t="s">
        <v>5865</v>
      </c>
      <c r="B67" t="s">
        <v>5866</v>
      </c>
      <c r="C67" t="s">
        <v>5867</v>
      </c>
      <c r="D67" t="s">
        <v>5868</v>
      </c>
    </row>
    <row r="68" spans="1:4" x14ac:dyDescent="0.15">
      <c r="A68" t="s">
        <v>5869</v>
      </c>
      <c r="B68" t="s">
        <v>5870</v>
      </c>
      <c r="C68" t="s">
        <v>5871</v>
      </c>
      <c r="D68" t="s">
        <v>5872</v>
      </c>
    </row>
    <row r="69" spans="1:4" x14ac:dyDescent="0.15">
      <c r="A69" t="s">
        <v>5873</v>
      </c>
      <c r="B69" t="s">
        <v>5874</v>
      </c>
      <c r="C69" t="s">
        <v>5875</v>
      </c>
      <c r="D69" t="s">
        <v>5876</v>
      </c>
    </row>
    <row r="70" spans="1:4" x14ac:dyDescent="0.15">
      <c r="A70" t="s">
        <v>5877</v>
      </c>
      <c r="B70" t="s">
        <v>5878</v>
      </c>
      <c r="C70" t="s">
        <v>5879</v>
      </c>
      <c r="D70" t="s">
        <v>5880</v>
      </c>
    </row>
    <row r="71" spans="1:4" x14ac:dyDescent="0.15">
      <c r="A71" t="s">
        <v>5881</v>
      </c>
      <c r="B71" t="s">
        <v>5882</v>
      </c>
      <c r="C71" t="s">
        <v>5883</v>
      </c>
      <c r="D71" t="s">
        <v>5884</v>
      </c>
    </row>
    <row r="72" spans="1:4" x14ac:dyDescent="0.15">
      <c r="A72" t="s">
        <v>5885</v>
      </c>
      <c r="B72" t="s">
        <v>5886</v>
      </c>
      <c r="C72" t="s">
        <v>5887</v>
      </c>
      <c r="D72" t="s">
        <v>5888</v>
      </c>
    </row>
    <row r="73" spans="1:4" x14ac:dyDescent="0.15">
      <c r="A73" t="s">
        <v>5889</v>
      </c>
      <c r="B73" t="s">
        <v>5890</v>
      </c>
      <c r="C73" t="s">
        <v>5891</v>
      </c>
      <c r="D73" t="s">
        <v>5892</v>
      </c>
    </row>
    <row r="74" spans="1:4" x14ac:dyDescent="0.15">
      <c r="A74" t="s">
        <v>5893</v>
      </c>
      <c r="B74" t="s">
        <v>5894</v>
      </c>
      <c r="C74" t="s">
        <v>5895</v>
      </c>
      <c r="D74" t="s">
        <v>5896</v>
      </c>
    </row>
    <row r="75" spans="1:4" x14ac:dyDescent="0.15">
      <c r="A75" t="s">
        <v>5897</v>
      </c>
      <c r="B75" t="s">
        <v>5898</v>
      </c>
      <c r="C75" t="s">
        <v>5899</v>
      </c>
      <c r="D75" t="s">
        <v>5900</v>
      </c>
    </row>
    <row r="76" spans="1:4" x14ac:dyDescent="0.15">
      <c r="A76" t="s">
        <v>5901</v>
      </c>
      <c r="B76" t="s">
        <v>5902</v>
      </c>
      <c r="C76" t="s">
        <v>5903</v>
      </c>
      <c r="D76" t="s">
        <v>5904</v>
      </c>
    </row>
    <row r="77" spans="1:4" x14ac:dyDescent="0.15">
      <c r="A77" t="s">
        <v>5905</v>
      </c>
      <c r="B77" t="s">
        <v>5906</v>
      </c>
      <c r="C77" t="s">
        <v>5907</v>
      </c>
      <c r="D77" t="s">
        <v>5908</v>
      </c>
    </row>
    <row r="78" spans="1:4" x14ac:dyDescent="0.15">
      <c r="A78" t="s">
        <v>5909</v>
      </c>
      <c r="B78" t="s">
        <v>5910</v>
      </c>
      <c r="C78" t="s">
        <v>5911</v>
      </c>
      <c r="D78" t="s">
        <v>5912</v>
      </c>
    </row>
    <row r="79" spans="1:4" x14ac:dyDescent="0.15">
      <c r="A79" t="s">
        <v>5913</v>
      </c>
      <c r="B79" t="s">
        <v>5914</v>
      </c>
      <c r="C79" t="s">
        <v>5915</v>
      </c>
      <c r="D79" t="s">
        <v>5916</v>
      </c>
    </row>
    <row r="80" spans="1:4" x14ac:dyDescent="0.15">
      <c r="A80" t="s">
        <v>5917</v>
      </c>
      <c r="B80" t="s">
        <v>5918</v>
      </c>
      <c r="C80" t="s">
        <v>5919</v>
      </c>
      <c r="D80" t="s">
        <v>5920</v>
      </c>
    </row>
    <row r="81" spans="1:4" x14ac:dyDescent="0.15">
      <c r="A81" t="s">
        <v>5921</v>
      </c>
      <c r="B81" t="s">
        <v>5922</v>
      </c>
      <c r="C81" t="s">
        <v>5923</v>
      </c>
      <c r="D81" t="s">
        <v>5924</v>
      </c>
    </row>
    <row r="82" spans="1:4" x14ac:dyDescent="0.15">
      <c r="A82" t="s">
        <v>5925</v>
      </c>
      <c r="B82" t="s">
        <v>5926</v>
      </c>
      <c r="C82" t="s">
        <v>5927</v>
      </c>
      <c r="D82" t="s">
        <v>5928</v>
      </c>
    </row>
    <row r="83" spans="1:4" x14ac:dyDescent="0.15">
      <c r="A83" t="s">
        <v>5929</v>
      </c>
      <c r="B83" t="s">
        <v>5930</v>
      </c>
      <c r="C83" t="s">
        <v>5931</v>
      </c>
      <c r="D83" t="s">
        <v>5932</v>
      </c>
    </row>
    <row r="84" spans="1:4" x14ac:dyDescent="0.15">
      <c r="A84" t="s">
        <v>5933</v>
      </c>
      <c r="B84" t="s">
        <v>5934</v>
      </c>
      <c r="C84" t="s">
        <v>5851</v>
      </c>
      <c r="D84" t="s">
        <v>5935</v>
      </c>
    </row>
    <row r="85" spans="1:4" x14ac:dyDescent="0.15">
      <c r="A85" t="s">
        <v>5936</v>
      </c>
      <c r="B85" t="s">
        <v>5937</v>
      </c>
      <c r="C85" t="s">
        <v>5938</v>
      </c>
      <c r="D85" t="s">
        <v>5939</v>
      </c>
    </row>
    <row r="86" spans="1:4" x14ac:dyDescent="0.15">
      <c r="A86" t="s">
        <v>5940</v>
      </c>
      <c r="B86" t="s">
        <v>5941</v>
      </c>
      <c r="C86" t="s">
        <v>5942</v>
      </c>
      <c r="D86" t="s">
        <v>5940</v>
      </c>
    </row>
    <row r="87" spans="1:4" x14ac:dyDescent="0.15">
      <c r="A87" t="s">
        <v>5943</v>
      </c>
      <c r="B87" t="s">
        <v>5944</v>
      </c>
      <c r="C87" t="s">
        <v>5945</v>
      </c>
      <c r="D87" t="s">
        <v>5946</v>
      </c>
    </row>
    <row r="88" spans="1:4" x14ac:dyDescent="0.15">
      <c r="A88" t="s">
        <v>5947</v>
      </c>
      <c r="B88" t="s">
        <v>5948</v>
      </c>
      <c r="C88" t="s">
        <v>5949</v>
      </c>
      <c r="D88" t="s">
        <v>5947</v>
      </c>
    </row>
    <row r="89" spans="1:4" x14ac:dyDescent="0.15">
      <c r="A89" t="s">
        <v>5950</v>
      </c>
      <c r="B89" t="s">
        <v>5951</v>
      </c>
      <c r="C89" t="s">
        <v>5952</v>
      </c>
      <c r="D89" t="s">
        <v>5950</v>
      </c>
    </row>
    <row r="90" spans="1:4" x14ac:dyDescent="0.15">
      <c r="A90" t="s">
        <v>5953</v>
      </c>
      <c r="B90" t="s">
        <v>5954</v>
      </c>
      <c r="C90" t="s">
        <v>5955</v>
      </c>
      <c r="D90" t="s">
        <v>5956</v>
      </c>
    </row>
    <row r="91" spans="1:4" x14ac:dyDescent="0.15">
      <c r="A91" t="s">
        <v>5957</v>
      </c>
      <c r="B91" t="s">
        <v>5958</v>
      </c>
      <c r="C91" t="s">
        <v>5959</v>
      </c>
      <c r="D91" t="s">
        <v>5960</v>
      </c>
    </row>
    <row r="92" spans="1:4" x14ac:dyDescent="0.15">
      <c r="A92" t="s">
        <v>5961</v>
      </c>
      <c r="B92" t="s">
        <v>5962</v>
      </c>
      <c r="C92" t="s">
        <v>5963</v>
      </c>
      <c r="D92" t="s">
        <v>5964</v>
      </c>
    </row>
    <row r="93" spans="1:4" x14ac:dyDescent="0.15">
      <c r="A93" t="s">
        <v>5965</v>
      </c>
      <c r="B93" t="s">
        <v>5966</v>
      </c>
      <c r="C93" t="s">
        <v>5967</v>
      </c>
      <c r="D93" t="s">
        <v>5968</v>
      </c>
    </row>
    <row r="94" spans="1:4" x14ac:dyDescent="0.15">
      <c r="A94" t="s">
        <v>5969</v>
      </c>
      <c r="B94" t="s">
        <v>5970</v>
      </c>
      <c r="C94" t="s">
        <v>5971</v>
      </c>
      <c r="D94" t="s">
        <v>5972</v>
      </c>
    </row>
    <row r="95" spans="1:4" x14ac:dyDescent="0.15">
      <c r="A95" t="s">
        <v>5973</v>
      </c>
      <c r="B95" t="s">
        <v>5974</v>
      </c>
      <c r="C95" t="s">
        <v>5975</v>
      </c>
      <c r="D95" t="s">
        <v>5976</v>
      </c>
    </row>
    <row r="96" spans="1:4" x14ac:dyDescent="0.15">
      <c r="A96" t="s">
        <v>5977</v>
      </c>
      <c r="B96" t="s">
        <v>5978</v>
      </c>
      <c r="C96" t="s">
        <v>5979</v>
      </c>
      <c r="D96" t="s">
        <v>5980</v>
      </c>
    </row>
    <row r="97" spans="1:4" x14ac:dyDescent="0.15">
      <c r="A97" t="s">
        <v>5981</v>
      </c>
      <c r="B97" t="s">
        <v>5982</v>
      </c>
      <c r="C97" t="s">
        <v>5983</v>
      </c>
      <c r="D97" t="s">
        <v>5984</v>
      </c>
    </row>
    <row r="98" spans="1:4" x14ac:dyDescent="0.15">
      <c r="A98" t="s">
        <v>5985</v>
      </c>
      <c r="B98" t="s">
        <v>5986</v>
      </c>
      <c r="C98" t="s">
        <v>5987</v>
      </c>
      <c r="D98" t="s">
        <v>5988</v>
      </c>
    </row>
    <row r="99" spans="1:4" x14ac:dyDescent="0.15">
      <c r="A99" t="s">
        <v>5989</v>
      </c>
      <c r="B99" t="s">
        <v>5990</v>
      </c>
      <c r="C99" t="s">
        <v>5991</v>
      </c>
      <c r="D99" t="s">
        <v>5992</v>
      </c>
    </row>
    <row r="100" spans="1:4" x14ac:dyDescent="0.15">
      <c r="A100" t="s">
        <v>5993</v>
      </c>
      <c r="B100" t="s">
        <v>5994</v>
      </c>
      <c r="C100" t="s">
        <v>5995</v>
      </c>
      <c r="D100" t="s">
        <v>5996</v>
      </c>
    </row>
    <row r="101" spans="1:4" x14ac:dyDescent="0.15">
      <c r="A101" t="s">
        <v>5997</v>
      </c>
      <c r="B101" t="s">
        <v>5998</v>
      </c>
      <c r="C101" t="s">
        <v>5999</v>
      </c>
      <c r="D101" t="s">
        <v>6000</v>
      </c>
    </row>
    <row r="102" spans="1:4" x14ac:dyDescent="0.15">
      <c r="A102" t="s">
        <v>6001</v>
      </c>
      <c r="B102" t="s">
        <v>6002</v>
      </c>
      <c r="C102" t="s">
        <v>6003</v>
      </c>
      <c r="D102" t="s">
        <v>6004</v>
      </c>
    </row>
    <row r="103" spans="1:4" x14ac:dyDescent="0.15">
      <c r="A103" t="s">
        <v>6005</v>
      </c>
      <c r="B103" t="s">
        <v>6006</v>
      </c>
      <c r="C103" t="s">
        <v>6007</v>
      </c>
      <c r="D103" t="s">
        <v>6008</v>
      </c>
    </row>
    <row r="104" spans="1:4" x14ac:dyDescent="0.15">
      <c r="A104" t="s">
        <v>6009</v>
      </c>
      <c r="B104" t="s">
        <v>6010</v>
      </c>
      <c r="C104" t="s">
        <v>6011</v>
      </c>
      <c r="D104" t="s">
        <v>6009</v>
      </c>
    </row>
    <row r="105" spans="1:4" x14ac:dyDescent="0.15">
      <c r="A105" t="s">
        <v>6012</v>
      </c>
      <c r="B105" t="s">
        <v>6013</v>
      </c>
      <c r="C105" t="s">
        <v>6014</v>
      </c>
      <c r="D105" t="s">
        <v>6015</v>
      </c>
    </row>
    <row r="106" spans="1:4" x14ac:dyDescent="0.15">
      <c r="A106" t="s">
        <v>6016</v>
      </c>
      <c r="B106" t="s">
        <v>6017</v>
      </c>
      <c r="C106" t="s">
        <v>6018</v>
      </c>
      <c r="D106" t="s">
        <v>6019</v>
      </c>
    </row>
    <row r="107" spans="1:4" x14ac:dyDescent="0.15">
      <c r="A107" t="s">
        <v>6020</v>
      </c>
      <c r="B107" t="s">
        <v>6021</v>
      </c>
      <c r="C107" t="s">
        <v>6022</v>
      </c>
      <c r="D107" t="s">
        <v>6023</v>
      </c>
    </row>
    <row r="108" spans="1:4" x14ac:dyDescent="0.15">
      <c r="A108" t="s">
        <v>6024</v>
      </c>
      <c r="B108" t="s">
        <v>6025</v>
      </c>
      <c r="C108" t="s">
        <v>6026</v>
      </c>
      <c r="D108" t="s">
        <v>6027</v>
      </c>
    </row>
    <row r="109" spans="1:4" x14ac:dyDescent="0.15">
      <c r="A109" t="s">
        <v>6028</v>
      </c>
      <c r="B109" t="s">
        <v>6029</v>
      </c>
      <c r="C109" t="s">
        <v>6030</v>
      </c>
      <c r="D109" t="s">
        <v>6031</v>
      </c>
    </row>
    <row r="110" spans="1:4" x14ac:dyDescent="0.15">
      <c r="A110" t="s">
        <v>6032</v>
      </c>
      <c r="B110" t="s">
        <v>6033</v>
      </c>
      <c r="C110" t="s">
        <v>6034</v>
      </c>
      <c r="D110" t="s">
        <v>6035</v>
      </c>
    </row>
    <row r="111" spans="1:4" x14ac:dyDescent="0.15">
      <c r="A111" t="s">
        <v>6036</v>
      </c>
      <c r="B111" t="s">
        <v>6037</v>
      </c>
      <c r="C111" t="s">
        <v>6038</v>
      </c>
      <c r="D111" t="s">
        <v>6039</v>
      </c>
    </row>
    <row r="112" spans="1:4" x14ac:dyDescent="0.15">
      <c r="A112" t="s">
        <v>6040</v>
      </c>
      <c r="B112" t="s">
        <v>6041</v>
      </c>
      <c r="C112" t="s">
        <v>6042</v>
      </c>
      <c r="D112" t="s">
        <v>6043</v>
      </c>
    </row>
    <row r="113" spans="1:4" x14ac:dyDescent="0.15">
      <c r="A113" t="s">
        <v>6044</v>
      </c>
      <c r="B113" t="s">
        <v>6045</v>
      </c>
      <c r="C113" t="s">
        <v>6046</v>
      </c>
      <c r="D113" t="s">
        <v>6047</v>
      </c>
    </row>
    <row r="114" spans="1:4" x14ac:dyDescent="0.15">
      <c r="A114" t="s">
        <v>6048</v>
      </c>
      <c r="B114" t="s">
        <v>6049</v>
      </c>
      <c r="C114" t="s">
        <v>6050</v>
      </c>
      <c r="D114" t="s">
        <v>6051</v>
      </c>
    </row>
    <row r="115" spans="1:4" x14ac:dyDescent="0.15">
      <c r="A115" t="s">
        <v>6052</v>
      </c>
      <c r="B115" t="s">
        <v>6053</v>
      </c>
      <c r="C115" t="s">
        <v>6054</v>
      </c>
      <c r="D115" t="s">
        <v>6055</v>
      </c>
    </row>
    <row r="116" spans="1:4" x14ac:dyDescent="0.15">
      <c r="A116" t="s">
        <v>6056</v>
      </c>
      <c r="B116" t="s">
        <v>6057</v>
      </c>
      <c r="C116" t="s">
        <v>6058</v>
      </c>
      <c r="D116" t="s">
        <v>6059</v>
      </c>
    </row>
    <row r="117" spans="1:4" x14ac:dyDescent="0.15">
      <c r="A117" t="s">
        <v>6060</v>
      </c>
      <c r="B117" t="s">
        <v>6061</v>
      </c>
      <c r="C117" t="s">
        <v>6062</v>
      </c>
      <c r="D117" t="s">
        <v>6063</v>
      </c>
    </row>
    <row r="118" spans="1:4" x14ac:dyDescent="0.15">
      <c r="A118" t="s">
        <v>6064</v>
      </c>
      <c r="B118" t="s">
        <v>6065</v>
      </c>
      <c r="C118" t="s">
        <v>6050</v>
      </c>
      <c r="D118" t="s">
        <v>6066</v>
      </c>
    </row>
    <row r="119" spans="1:4" x14ac:dyDescent="0.15">
      <c r="A119" t="s">
        <v>6067</v>
      </c>
      <c r="B119" t="s">
        <v>6068</v>
      </c>
      <c r="C119" t="s">
        <v>6069</v>
      </c>
      <c r="D119" t="s">
        <v>6070</v>
      </c>
    </row>
    <row r="120" spans="1:4" x14ac:dyDescent="0.15">
      <c r="A120" t="s">
        <v>6071</v>
      </c>
      <c r="B120" t="s">
        <v>6072</v>
      </c>
      <c r="C120" t="s">
        <v>6073</v>
      </c>
      <c r="D120" t="s">
        <v>6074</v>
      </c>
    </row>
    <row r="121" spans="1:4" x14ac:dyDescent="0.15">
      <c r="A121" t="s">
        <v>6075</v>
      </c>
      <c r="B121" t="s">
        <v>6076</v>
      </c>
      <c r="C121" t="s">
        <v>6077</v>
      </c>
      <c r="D121" t="s">
        <v>6078</v>
      </c>
    </row>
    <row r="122" spans="1:4" x14ac:dyDescent="0.15">
      <c r="A122" t="s">
        <v>6079</v>
      </c>
      <c r="B122" t="s">
        <v>6080</v>
      </c>
      <c r="C122" t="s">
        <v>6081</v>
      </c>
      <c r="D122" t="s">
        <v>6082</v>
      </c>
    </row>
    <row r="123" spans="1:4" x14ac:dyDescent="0.15">
      <c r="A123" t="s">
        <v>6083</v>
      </c>
      <c r="B123" t="s">
        <v>6084</v>
      </c>
      <c r="C123" t="s">
        <v>6085</v>
      </c>
      <c r="D123" t="s">
        <v>6086</v>
      </c>
    </row>
    <row r="124" spans="1:4" x14ac:dyDescent="0.15">
      <c r="A124" t="s">
        <v>6087</v>
      </c>
      <c r="B124" t="s">
        <v>6088</v>
      </c>
      <c r="C124" t="s">
        <v>6089</v>
      </c>
      <c r="D124" t="s">
        <v>6090</v>
      </c>
    </row>
    <row r="125" spans="1:4" x14ac:dyDescent="0.15">
      <c r="A125" t="s">
        <v>6091</v>
      </c>
      <c r="B125" t="s">
        <v>6092</v>
      </c>
      <c r="C125" t="s">
        <v>6093</v>
      </c>
      <c r="D125" t="s">
        <v>6094</v>
      </c>
    </row>
    <row r="126" spans="1:4" x14ac:dyDescent="0.15">
      <c r="A126" t="s">
        <v>6095</v>
      </c>
      <c r="B126" t="s">
        <v>6096</v>
      </c>
      <c r="C126" t="s">
        <v>6097</v>
      </c>
      <c r="D126" t="s">
        <v>6098</v>
      </c>
    </row>
    <row r="127" spans="1:4" x14ac:dyDescent="0.15">
      <c r="A127" t="s">
        <v>6099</v>
      </c>
      <c r="B127" t="s">
        <v>6100</v>
      </c>
      <c r="C127" t="s">
        <v>6101</v>
      </c>
      <c r="D127" t="s">
        <v>6102</v>
      </c>
    </row>
    <row r="128" spans="1:4" x14ac:dyDescent="0.15">
      <c r="A128" t="s">
        <v>6103</v>
      </c>
      <c r="B128" t="s">
        <v>6104</v>
      </c>
      <c r="C128" t="s">
        <v>6105</v>
      </c>
      <c r="D128" t="s">
        <v>6106</v>
      </c>
    </row>
    <row r="129" spans="1:4" x14ac:dyDescent="0.15">
      <c r="A129" t="s">
        <v>6107</v>
      </c>
      <c r="B129" t="s">
        <v>6108</v>
      </c>
      <c r="C129" t="s">
        <v>6109</v>
      </c>
      <c r="D129" t="s">
        <v>6110</v>
      </c>
    </row>
    <row r="130" spans="1:4" x14ac:dyDescent="0.15">
      <c r="A130" t="s">
        <v>6111</v>
      </c>
      <c r="B130" t="s">
        <v>6112</v>
      </c>
      <c r="C130" t="s">
        <v>6113</v>
      </c>
      <c r="D130" t="s">
        <v>6114</v>
      </c>
    </row>
    <row r="131" spans="1:4" x14ac:dyDescent="0.15">
      <c r="A131" t="s">
        <v>6115</v>
      </c>
      <c r="B131" t="s">
        <v>6116</v>
      </c>
      <c r="C131" t="s">
        <v>6117</v>
      </c>
      <c r="D131" t="s">
        <v>6118</v>
      </c>
    </row>
    <row r="132" spans="1:4" x14ac:dyDescent="0.15">
      <c r="A132" t="s">
        <v>6119</v>
      </c>
      <c r="B132" t="s">
        <v>6120</v>
      </c>
      <c r="C132" t="s">
        <v>6121</v>
      </c>
      <c r="D132" t="s">
        <v>6122</v>
      </c>
    </row>
    <row r="133" spans="1:4" x14ac:dyDescent="0.15">
      <c r="A133" t="s">
        <v>6123</v>
      </c>
      <c r="B133" t="s">
        <v>6124</v>
      </c>
      <c r="C133" t="s">
        <v>6125</v>
      </c>
      <c r="D133" t="s">
        <v>6126</v>
      </c>
    </row>
    <row r="134" spans="1:4" x14ac:dyDescent="0.15">
      <c r="A134" t="s">
        <v>6127</v>
      </c>
      <c r="B134" t="s">
        <v>6128</v>
      </c>
      <c r="C134" t="s">
        <v>5722</v>
      </c>
      <c r="D134" t="s">
        <v>5720</v>
      </c>
    </row>
    <row r="135" spans="1:4" x14ac:dyDescent="0.15">
      <c r="A135" t="s">
        <v>6129</v>
      </c>
      <c r="B135" t="s">
        <v>6130</v>
      </c>
      <c r="C135" t="s">
        <v>5995</v>
      </c>
      <c r="D135" t="s">
        <v>6131</v>
      </c>
    </row>
    <row r="136" spans="1:4" x14ac:dyDescent="0.15">
      <c r="A136" t="s">
        <v>6132</v>
      </c>
      <c r="B136" t="s">
        <v>6133</v>
      </c>
      <c r="C136" t="s">
        <v>6134</v>
      </c>
      <c r="D136" t="s">
        <v>6135</v>
      </c>
    </row>
    <row r="137" spans="1:4" x14ac:dyDescent="0.15">
      <c r="A137" t="s">
        <v>6136</v>
      </c>
      <c r="B137" t="s">
        <v>6137</v>
      </c>
      <c r="C137" t="s">
        <v>6138</v>
      </c>
      <c r="D137" t="s">
        <v>6139</v>
      </c>
    </row>
    <row r="138" spans="1:4" x14ac:dyDescent="0.15">
      <c r="A138" t="s">
        <v>6140</v>
      </c>
      <c r="B138" t="s">
        <v>6141</v>
      </c>
      <c r="C138" t="s">
        <v>6142</v>
      </c>
      <c r="D138" t="s">
        <v>6143</v>
      </c>
    </row>
    <row r="139" spans="1:4" x14ac:dyDescent="0.15">
      <c r="A139" t="s">
        <v>6144</v>
      </c>
      <c r="B139" t="s">
        <v>6145</v>
      </c>
      <c r="C139" t="s">
        <v>6146</v>
      </c>
      <c r="D139" t="s">
        <v>6147</v>
      </c>
    </row>
    <row r="140" spans="1:4" x14ac:dyDescent="0.15">
      <c r="A140" t="s">
        <v>6148</v>
      </c>
      <c r="B140" t="s">
        <v>6149</v>
      </c>
      <c r="C140" t="s">
        <v>6150</v>
      </c>
      <c r="D140" t="s">
        <v>6151</v>
      </c>
    </row>
    <row r="141" spans="1:4" x14ac:dyDescent="0.15">
      <c r="A141" t="s">
        <v>6152</v>
      </c>
      <c r="B141" t="s">
        <v>6153</v>
      </c>
      <c r="C141" t="s">
        <v>6154</v>
      </c>
      <c r="D141" t="s">
        <v>6155</v>
      </c>
    </row>
    <row r="142" spans="1:4" x14ac:dyDescent="0.15">
      <c r="A142" t="s">
        <v>6156</v>
      </c>
      <c r="B142" t="s">
        <v>6157</v>
      </c>
      <c r="C142" t="s">
        <v>6158</v>
      </c>
      <c r="D142" t="s">
        <v>6159</v>
      </c>
    </row>
    <row r="143" spans="1:4" x14ac:dyDescent="0.15">
      <c r="A143" t="s">
        <v>6160</v>
      </c>
      <c r="B143" t="s">
        <v>6161</v>
      </c>
      <c r="C143" t="s">
        <v>5824</v>
      </c>
      <c r="D143" t="s">
        <v>6162</v>
      </c>
    </row>
    <row r="144" spans="1:4" x14ac:dyDescent="0.15">
      <c r="A144" t="s">
        <v>6163</v>
      </c>
      <c r="B144" t="s">
        <v>6164</v>
      </c>
      <c r="C144" t="s">
        <v>6165</v>
      </c>
      <c r="D144" t="s">
        <v>6166</v>
      </c>
    </row>
    <row r="145" spans="1:4" x14ac:dyDescent="0.15">
      <c r="A145" t="s">
        <v>6167</v>
      </c>
      <c r="B145" t="s">
        <v>6168</v>
      </c>
      <c r="C145" t="s">
        <v>6169</v>
      </c>
      <c r="D145" t="s">
        <v>6170</v>
      </c>
    </row>
    <row r="146" spans="1:4" x14ac:dyDescent="0.15">
      <c r="A146" t="s">
        <v>6171</v>
      </c>
      <c r="B146" t="s">
        <v>6172</v>
      </c>
      <c r="C146" t="s">
        <v>6173</v>
      </c>
      <c r="D146" t="s">
        <v>6174</v>
      </c>
    </row>
    <row r="147" spans="1:4" x14ac:dyDescent="0.15">
      <c r="A147" t="s">
        <v>6175</v>
      </c>
      <c r="B147" t="s">
        <v>6176</v>
      </c>
      <c r="C147" t="s">
        <v>6177</v>
      </c>
      <c r="D147" t="s">
        <v>6178</v>
      </c>
    </row>
    <row r="148" spans="1:4" x14ac:dyDescent="0.15">
      <c r="A148" t="s">
        <v>6179</v>
      </c>
      <c r="B148" t="s">
        <v>6180</v>
      </c>
      <c r="C148" t="s">
        <v>5672</v>
      </c>
      <c r="D148" t="s">
        <v>6181</v>
      </c>
    </row>
    <row r="149" spans="1:4" x14ac:dyDescent="0.15">
      <c r="A149" t="s">
        <v>6182</v>
      </c>
      <c r="B149" t="s">
        <v>6183</v>
      </c>
      <c r="C149" t="s">
        <v>6184</v>
      </c>
      <c r="D149" t="s">
        <v>6185</v>
      </c>
    </row>
    <row r="150" spans="1:4" x14ac:dyDescent="0.15">
      <c r="A150" t="s">
        <v>6186</v>
      </c>
      <c r="B150" t="s">
        <v>6187</v>
      </c>
      <c r="C150" t="s">
        <v>6188</v>
      </c>
      <c r="D150" t="s">
        <v>5785</v>
      </c>
    </row>
    <row r="151" spans="1:4" x14ac:dyDescent="0.15">
      <c r="A151" t="s">
        <v>6189</v>
      </c>
      <c r="B151" t="s">
        <v>6190</v>
      </c>
      <c r="C151" t="s">
        <v>6191</v>
      </c>
      <c r="D151" t="s">
        <v>6192</v>
      </c>
    </row>
    <row r="152" spans="1:4" x14ac:dyDescent="0.15">
      <c r="A152" t="s">
        <v>6193</v>
      </c>
      <c r="B152" t="s">
        <v>6194</v>
      </c>
      <c r="C152" t="s">
        <v>6195</v>
      </c>
      <c r="D152" t="s">
        <v>6196</v>
      </c>
    </row>
    <row r="153" spans="1:4" x14ac:dyDescent="0.15">
      <c r="A153" t="s">
        <v>6197</v>
      </c>
      <c r="B153" t="s">
        <v>6198</v>
      </c>
      <c r="C153" t="s">
        <v>6199</v>
      </c>
      <c r="D153" t="s">
        <v>6200</v>
      </c>
    </row>
    <row r="154" spans="1:4" x14ac:dyDescent="0.15">
      <c r="A154" t="s">
        <v>6201</v>
      </c>
      <c r="B154" t="s">
        <v>6202</v>
      </c>
      <c r="C154" t="s">
        <v>6203</v>
      </c>
      <c r="D154" t="s">
        <v>6204</v>
      </c>
    </row>
    <row r="155" spans="1:4" x14ac:dyDescent="0.15">
      <c r="A155" t="s">
        <v>6205</v>
      </c>
      <c r="B155" t="s">
        <v>6206</v>
      </c>
      <c r="C155" t="s">
        <v>6207</v>
      </c>
      <c r="D155" t="s">
        <v>6208</v>
      </c>
    </row>
    <row r="156" spans="1:4" x14ac:dyDescent="0.15">
      <c r="A156" t="s">
        <v>6209</v>
      </c>
      <c r="B156" t="s">
        <v>6210</v>
      </c>
      <c r="C156" t="s">
        <v>6109</v>
      </c>
      <c r="D156" t="s">
        <v>6211</v>
      </c>
    </row>
    <row r="157" spans="1:4" x14ac:dyDescent="0.15">
      <c r="A157" t="s">
        <v>6212</v>
      </c>
      <c r="B157" t="s">
        <v>6213</v>
      </c>
      <c r="C157" t="s">
        <v>6214</v>
      </c>
      <c r="D157" t="s">
        <v>6215</v>
      </c>
    </row>
    <row r="158" spans="1:4" x14ac:dyDescent="0.15">
      <c r="A158" t="s">
        <v>6216</v>
      </c>
      <c r="B158" t="s">
        <v>6217</v>
      </c>
      <c r="C158" t="s">
        <v>6218</v>
      </c>
      <c r="D158" t="s">
        <v>6219</v>
      </c>
    </row>
    <row r="159" spans="1:4" x14ac:dyDescent="0.15">
      <c r="A159" t="s">
        <v>6220</v>
      </c>
      <c r="B159" t="s">
        <v>6221</v>
      </c>
      <c r="C159" t="s">
        <v>6222</v>
      </c>
      <c r="D159" t="s">
        <v>6220</v>
      </c>
    </row>
    <row r="160" spans="1:4" x14ac:dyDescent="0.15">
      <c r="A160" t="s">
        <v>6223</v>
      </c>
      <c r="B160" t="s">
        <v>6224</v>
      </c>
      <c r="C160" t="s">
        <v>6225</v>
      </c>
      <c r="D160" t="s">
        <v>6226</v>
      </c>
    </row>
    <row r="161" spans="1:4" x14ac:dyDescent="0.15">
      <c r="A161" t="s">
        <v>6227</v>
      </c>
      <c r="B161" t="s">
        <v>6228</v>
      </c>
      <c r="C161" t="s">
        <v>6229</v>
      </c>
      <c r="D161" t="s">
        <v>6230</v>
      </c>
    </row>
    <row r="162" spans="1:4" x14ac:dyDescent="0.15">
      <c r="A162" t="s">
        <v>6231</v>
      </c>
      <c r="B162" t="s">
        <v>6232</v>
      </c>
      <c r="C162" t="s">
        <v>6233</v>
      </c>
      <c r="D162" t="s">
        <v>6234</v>
      </c>
    </row>
    <row r="163" spans="1:4" x14ac:dyDescent="0.15">
      <c r="A163" t="s">
        <v>6235</v>
      </c>
      <c r="B163" t="s">
        <v>6236</v>
      </c>
      <c r="C163" t="s">
        <v>6237</v>
      </c>
      <c r="D163" t="s">
        <v>6238</v>
      </c>
    </row>
    <row r="164" spans="1:4" x14ac:dyDescent="0.15">
      <c r="A164" t="s">
        <v>6239</v>
      </c>
      <c r="B164" t="s">
        <v>6240</v>
      </c>
      <c r="C164" t="s">
        <v>6241</v>
      </c>
      <c r="D164" t="s">
        <v>6242</v>
      </c>
    </row>
    <row r="165" spans="1:4" x14ac:dyDescent="0.15">
      <c r="A165" t="s">
        <v>6243</v>
      </c>
      <c r="B165" t="s">
        <v>6244</v>
      </c>
      <c r="C165" t="s">
        <v>6245</v>
      </c>
      <c r="D165" t="s">
        <v>6246</v>
      </c>
    </row>
    <row r="166" spans="1:4" x14ac:dyDescent="0.15">
      <c r="A166" t="s">
        <v>6247</v>
      </c>
      <c r="B166" t="s">
        <v>6248</v>
      </c>
      <c r="C166" t="s">
        <v>6249</v>
      </c>
      <c r="D166" t="s">
        <v>6250</v>
      </c>
    </row>
    <row r="167" spans="1:4" x14ac:dyDescent="0.15">
      <c r="A167" t="s">
        <v>6251</v>
      </c>
      <c r="B167" t="s">
        <v>6252</v>
      </c>
      <c r="C167" t="s">
        <v>6253</v>
      </c>
      <c r="D167" t="s">
        <v>6254</v>
      </c>
    </row>
    <row r="168" spans="1:4" x14ac:dyDescent="0.15">
      <c r="A168" t="s">
        <v>6255</v>
      </c>
      <c r="B168" t="s">
        <v>6256</v>
      </c>
      <c r="C168" t="s">
        <v>6257</v>
      </c>
      <c r="D168" t="s">
        <v>6258</v>
      </c>
    </row>
    <row r="169" spans="1:4" x14ac:dyDescent="0.15">
      <c r="A169" t="s">
        <v>6259</v>
      </c>
      <c r="B169" t="s">
        <v>6260</v>
      </c>
      <c r="C169" t="s">
        <v>6253</v>
      </c>
      <c r="D169" t="s">
        <v>6261</v>
      </c>
    </row>
    <row r="170" spans="1:4" x14ac:dyDescent="0.15">
      <c r="A170" t="s">
        <v>6262</v>
      </c>
      <c r="B170" t="s">
        <v>6263</v>
      </c>
      <c r="C170" t="s">
        <v>6264</v>
      </c>
      <c r="D170" t="s">
        <v>6265</v>
      </c>
    </row>
    <row r="171" spans="1:4" x14ac:dyDescent="0.15">
      <c r="A171" t="s">
        <v>6266</v>
      </c>
      <c r="B171" t="s">
        <v>6267</v>
      </c>
      <c r="C171" t="s">
        <v>6268</v>
      </c>
      <c r="D171" t="s">
        <v>6269</v>
      </c>
    </row>
    <row r="172" spans="1:4" x14ac:dyDescent="0.15">
      <c r="A172" t="s">
        <v>6270</v>
      </c>
      <c r="B172" t="s">
        <v>6271</v>
      </c>
      <c r="C172" t="s">
        <v>6272</v>
      </c>
      <c r="D172" t="s">
        <v>6273</v>
      </c>
    </row>
    <row r="173" spans="1:4" x14ac:dyDescent="0.15">
      <c r="A173" t="s">
        <v>6274</v>
      </c>
      <c r="B173" t="s">
        <v>6275</v>
      </c>
      <c r="C173" t="s">
        <v>6276</v>
      </c>
      <c r="D173" t="s">
        <v>6277</v>
      </c>
    </row>
    <row r="174" spans="1:4" x14ac:dyDescent="0.15">
      <c r="A174" t="s">
        <v>6278</v>
      </c>
      <c r="B174" t="s">
        <v>6279</v>
      </c>
      <c r="C174" t="s">
        <v>6280</v>
      </c>
      <c r="D174" t="s">
        <v>6281</v>
      </c>
    </row>
    <row r="175" spans="1:4" x14ac:dyDescent="0.15">
      <c r="A175" t="s">
        <v>6282</v>
      </c>
      <c r="B175" t="s">
        <v>6283</v>
      </c>
      <c r="C175" t="s">
        <v>6284</v>
      </c>
      <c r="D175" t="s">
        <v>6285</v>
      </c>
    </row>
    <row r="176" spans="1:4" x14ac:dyDescent="0.15">
      <c r="A176" t="s">
        <v>6286</v>
      </c>
      <c r="B176" t="s">
        <v>6287</v>
      </c>
      <c r="C176" t="s">
        <v>6288</v>
      </c>
      <c r="D176" t="s">
        <v>6289</v>
      </c>
    </row>
    <row r="177" spans="1:4" x14ac:dyDescent="0.15">
      <c r="A177" t="s">
        <v>6290</v>
      </c>
      <c r="B177" t="s">
        <v>6291</v>
      </c>
      <c r="C177" t="s">
        <v>6292</v>
      </c>
      <c r="D177" t="s">
        <v>6293</v>
      </c>
    </row>
    <row r="178" spans="1:4" x14ac:dyDescent="0.15">
      <c r="A178" t="s">
        <v>6294</v>
      </c>
      <c r="B178" t="s">
        <v>6295</v>
      </c>
      <c r="C178" t="s">
        <v>6296</v>
      </c>
      <c r="D178" t="s">
        <v>6297</v>
      </c>
    </row>
    <row r="179" spans="1:4" x14ac:dyDescent="0.15">
      <c r="A179" t="s">
        <v>6298</v>
      </c>
      <c r="B179" t="s">
        <v>6299</v>
      </c>
      <c r="C179" t="s">
        <v>6300</v>
      </c>
      <c r="D179" t="s">
        <v>6301</v>
      </c>
    </row>
    <row r="180" spans="1:4" x14ac:dyDescent="0.15">
      <c r="A180" t="s">
        <v>6302</v>
      </c>
      <c r="B180" t="s">
        <v>6303</v>
      </c>
      <c r="C180" t="s">
        <v>6304</v>
      </c>
      <c r="D180" t="s">
        <v>6305</v>
      </c>
    </row>
    <row r="181" spans="1:4" x14ac:dyDescent="0.15">
      <c r="A181" t="s">
        <v>6306</v>
      </c>
      <c r="B181" t="s">
        <v>6307</v>
      </c>
      <c r="C181" t="s">
        <v>6308</v>
      </c>
      <c r="D181" t="s">
        <v>6309</v>
      </c>
    </row>
    <row r="182" spans="1:4" x14ac:dyDescent="0.15">
      <c r="A182" t="s">
        <v>6310</v>
      </c>
      <c r="B182" t="s">
        <v>6311</v>
      </c>
      <c r="C182" t="s">
        <v>6312</v>
      </c>
      <c r="D182" t="s">
        <v>6313</v>
      </c>
    </row>
    <row r="183" spans="1:4" x14ac:dyDescent="0.15">
      <c r="A183" t="s">
        <v>6314</v>
      </c>
      <c r="B183" t="s">
        <v>6311</v>
      </c>
      <c r="C183" t="s">
        <v>6315</v>
      </c>
      <c r="D183" t="s">
        <v>6316</v>
      </c>
    </row>
    <row r="184" spans="1:4" x14ac:dyDescent="0.15">
      <c r="A184" t="s">
        <v>6317</v>
      </c>
      <c r="B184" t="s">
        <v>6318</v>
      </c>
      <c r="C184" t="s">
        <v>6319</v>
      </c>
      <c r="D184" t="s">
        <v>6320</v>
      </c>
    </row>
    <row r="185" spans="1:4" x14ac:dyDescent="0.15">
      <c r="A185" t="s">
        <v>6321</v>
      </c>
      <c r="B185" t="s">
        <v>6322</v>
      </c>
      <c r="C185" t="s">
        <v>6323</v>
      </c>
      <c r="D185" t="s">
        <v>6324</v>
      </c>
    </row>
    <row r="186" spans="1:4" x14ac:dyDescent="0.15">
      <c r="A186" t="s">
        <v>6325</v>
      </c>
      <c r="B186" t="s">
        <v>6326</v>
      </c>
      <c r="C186" t="s">
        <v>6327</v>
      </c>
      <c r="D186" t="s">
        <v>6328</v>
      </c>
    </row>
    <row r="187" spans="1:4" x14ac:dyDescent="0.15">
      <c r="A187" t="s">
        <v>6329</v>
      </c>
      <c r="B187" t="s">
        <v>6330</v>
      </c>
      <c r="C187" t="s">
        <v>6331</v>
      </c>
      <c r="D187" t="s">
        <v>6332</v>
      </c>
    </row>
    <row r="188" spans="1:4" x14ac:dyDescent="0.15">
      <c r="A188" t="s">
        <v>6333</v>
      </c>
      <c r="B188" t="s">
        <v>6334</v>
      </c>
      <c r="C188" t="s">
        <v>6335</v>
      </c>
      <c r="D188" t="s">
        <v>6336</v>
      </c>
    </row>
    <row r="189" spans="1:4" x14ac:dyDescent="0.15">
      <c r="A189" t="s">
        <v>6337</v>
      </c>
      <c r="B189" t="s">
        <v>6338</v>
      </c>
      <c r="C189" t="s">
        <v>6339</v>
      </c>
      <c r="D189" t="s">
        <v>6340</v>
      </c>
    </row>
    <row r="190" spans="1:4" x14ac:dyDescent="0.15">
      <c r="A190" t="s">
        <v>6341</v>
      </c>
      <c r="B190" t="s">
        <v>6342</v>
      </c>
      <c r="C190" t="s">
        <v>6343</v>
      </c>
      <c r="D190" t="s">
        <v>6344</v>
      </c>
    </row>
    <row r="191" spans="1:4" x14ac:dyDescent="0.15">
      <c r="A191" t="s">
        <v>6345</v>
      </c>
      <c r="B191" t="s">
        <v>6346</v>
      </c>
      <c r="C191" t="s">
        <v>6347</v>
      </c>
      <c r="D191" t="s">
        <v>6348</v>
      </c>
    </row>
    <row r="192" spans="1:4" x14ac:dyDescent="0.15">
      <c r="A192" t="s">
        <v>6349</v>
      </c>
      <c r="B192" t="s">
        <v>6350</v>
      </c>
      <c r="C192" t="s">
        <v>6351</v>
      </c>
      <c r="D192" t="s">
        <v>6352</v>
      </c>
    </row>
    <row r="193" spans="1:4" x14ac:dyDescent="0.15">
      <c r="A193" t="s">
        <v>6353</v>
      </c>
      <c r="B193" t="s">
        <v>6354</v>
      </c>
      <c r="C193" t="s">
        <v>6355</v>
      </c>
      <c r="D193" t="s">
        <v>6356</v>
      </c>
    </row>
    <row r="194" spans="1:4" x14ac:dyDescent="0.15">
      <c r="A194" t="s">
        <v>6357</v>
      </c>
      <c r="B194" t="s">
        <v>6358</v>
      </c>
      <c r="C194" t="s">
        <v>6359</v>
      </c>
      <c r="D194" t="s">
        <v>6360</v>
      </c>
    </row>
    <row r="195" spans="1:4" x14ac:dyDescent="0.15">
      <c r="A195" t="s">
        <v>6361</v>
      </c>
      <c r="B195" t="s">
        <v>6362</v>
      </c>
      <c r="C195" t="s">
        <v>6363</v>
      </c>
      <c r="D195" t="s">
        <v>6364</v>
      </c>
    </row>
    <row r="196" spans="1:4" x14ac:dyDescent="0.15">
      <c r="A196" t="s">
        <v>6365</v>
      </c>
      <c r="B196" t="s">
        <v>6366</v>
      </c>
      <c r="C196" t="s">
        <v>6367</v>
      </c>
      <c r="D196" t="s">
        <v>6368</v>
      </c>
    </row>
    <row r="197" spans="1:4" x14ac:dyDescent="0.15">
      <c r="A197" t="s">
        <v>6369</v>
      </c>
      <c r="B197" t="s">
        <v>6370</v>
      </c>
      <c r="C197" t="s">
        <v>6371</v>
      </c>
      <c r="D197" t="s">
        <v>6372</v>
      </c>
    </row>
    <row r="198" spans="1:4" x14ac:dyDescent="0.15">
      <c r="A198" t="s">
        <v>6373</v>
      </c>
      <c r="B198" t="s">
        <v>6374</v>
      </c>
      <c r="C198" t="s">
        <v>6375</v>
      </c>
      <c r="D198" t="s">
        <v>6376</v>
      </c>
    </row>
    <row r="199" spans="1:4" x14ac:dyDescent="0.15">
      <c r="A199" t="s">
        <v>6377</v>
      </c>
      <c r="B199" t="s">
        <v>6378</v>
      </c>
      <c r="C199" t="s">
        <v>6379</v>
      </c>
      <c r="D199" t="s">
        <v>6380</v>
      </c>
    </row>
    <row r="200" spans="1:4" x14ac:dyDescent="0.15">
      <c r="A200" t="s">
        <v>6381</v>
      </c>
      <c r="B200" t="s">
        <v>6382</v>
      </c>
      <c r="C200" t="s">
        <v>6383</v>
      </c>
      <c r="D200" t="s">
        <v>6384</v>
      </c>
    </row>
    <row r="201" spans="1:4" x14ac:dyDescent="0.15">
      <c r="A201" t="s">
        <v>6385</v>
      </c>
      <c r="B201" t="s">
        <v>6386</v>
      </c>
      <c r="C201" t="s">
        <v>6387</v>
      </c>
      <c r="D201" t="s">
        <v>6385</v>
      </c>
    </row>
    <row r="202" spans="1:4" x14ac:dyDescent="0.15">
      <c r="A202" t="s">
        <v>6388</v>
      </c>
      <c r="B202" t="s">
        <v>6389</v>
      </c>
      <c r="C202" t="s">
        <v>6390</v>
      </c>
      <c r="D202" t="s">
        <v>6391</v>
      </c>
    </row>
    <row r="203" spans="1:4" x14ac:dyDescent="0.15">
      <c r="A203" t="s">
        <v>6392</v>
      </c>
      <c r="B203" t="s">
        <v>6393</v>
      </c>
      <c r="C203" t="s">
        <v>6394</v>
      </c>
      <c r="D203" t="s">
        <v>6395</v>
      </c>
    </row>
    <row r="204" spans="1:4" x14ac:dyDescent="0.15">
      <c r="A204" t="s">
        <v>6396</v>
      </c>
      <c r="B204" t="s">
        <v>6397</v>
      </c>
      <c r="C204" t="s">
        <v>5855</v>
      </c>
      <c r="D204" t="s">
        <v>6396</v>
      </c>
    </row>
    <row r="205" spans="1:4" x14ac:dyDescent="0.15">
      <c r="A205" t="s">
        <v>6398</v>
      </c>
      <c r="B205" t="s">
        <v>6399</v>
      </c>
      <c r="C205" t="s">
        <v>6400</v>
      </c>
      <c r="D205" t="s">
        <v>6401</v>
      </c>
    </row>
    <row r="206" spans="1:4" x14ac:dyDescent="0.15">
      <c r="A206" t="s">
        <v>6402</v>
      </c>
      <c r="B206" t="s">
        <v>6403</v>
      </c>
      <c r="C206" t="s">
        <v>6404</v>
      </c>
      <c r="D206" t="s">
        <v>6405</v>
      </c>
    </row>
    <row r="207" spans="1:4" x14ac:dyDescent="0.15">
      <c r="A207" t="s">
        <v>6406</v>
      </c>
      <c r="B207" t="s">
        <v>6407</v>
      </c>
      <c r="C207" t="s">
        <v>6408</v>
      </c>
      <c r="D207" t="s">
        <v>6409</v>
      </c>
    </row>
    <row r="208" spans="1:4" x14ac:dyDescent="0.15">
      <c r="A208" t="s">
        <v>6410</v>
      </c>
      <c r="B208" t="s">
        <v>6411</v>
      </c>
      <c r="C208" t="s">
        <v>6412</v>
      </c>
      <c r="D208" t="s">
        <v>6413</v>
      </c>
    </row>
    <row r="209" spans="1:4" x14ac:dyDescent="0.15">
      <c r="A209" t="s">
        <v>6414</v>
      </c>
      <c r="B209" t="s">
        <v>6415</v>
      </c>
      <c r="C209" t="s">
        <v>6416</v>
      </c>
      <c r="D209" t="s">
        <v>6417</v>
      </c>
    </row>
    <row r="210" spans="1:4" x14ac:dyDescent="0.15">
      <c r="A210" t="s">
        <v>6418</v>
      </c>
      <c r="B210" t="s">
        <v>6419</v>
      </c>
      <c r="C210" t="s">
        <v>6420</v>
      </c>
      <c r="D210" t="s">
        <v>6421</v>
      </c>
    </row>
    <row r="211" spans="1:4" x14ac:dyDescent="0.15">
      <c r="A211" t="s">
        <v>6422</v>
      </c>
      <c r="B211" t="s">
        <v>6423</v>
      </c>
      <c r="C211" t="s">
        <v>6424</v>
      </c>
      <c r="D211" t="s">
        <v>6425</v>
      </c>
    </row>
    <row r="212" spans="1:4" x14ac:dyDescent="0.15">
      <c r="A212" t="s">
        <v>6426</v>
      </c>
      <c r="B212" t="s">
        <v>6427</v>
      </c>
      <c r="C212" t="s">
        <v>6428</v>
      </c>
      <c r="D212" t="s">
        <v>6429</v>
      </c>
    </row>
    <row r="213" spans="1:4" x14ac:dyDescent="0.15">
      <c r="A213" t="s">
        <v>6430</v>
      </c>
      <c r="B213" t="s">
        <v>6431</v>
      </c>
      <c r="C213" t="s">
        <v>6432</v>
      </c>
      <c r="D213" t="s">
        <v>6433</v>
      </c>
    </row>
    <row r="214" spans="1:4" x14ac:dyDescent="0.15">
      <c r="A214" t="s">
        <v>6434</v>
      </c>
      <c r="B214" t="s">
        <v>6435</v>
      </c>
      <c r="C214" t="s">
        <v>5931</v>
      </c>
      <c r="D214" t="s">
        <v>5932</v>
      </c>
    </row>
    <row r="215" spans="1:4" x14ac:dyDescent="0.15">
      <c r="A215" t="s">
        <v>6436</v>
      </c>
      <c r="B215" t="s">
        <v>6437</v>
      </c>
      <c r="C215" t="s">
        <v>6438</v>
      </c>
      <c r="D215" t="s">
        <v>6439</v>
      </c>
    </row>
    <row r="216" spans="1:4" x14ac:dyDescent="0.15">
      <c r="A216" t="s">
        <v>6440</v>
      </c>
      <c r="B216" t="s">
        <v>6441</v>
      </c>
      <c r="C216" t="s">
        <v>6442</v>
      </c>
      <c r="D216" t="s">
        <v>6443</v>
      </c>
    </row>
    <row r="217" spans="1:4" x14ac:dyDescent="0.15">
      <c r="A217" t="s">
        <v>6444</v>
      </c>
      <c r="B217" t="s">
        <v>6445</v>
      </c>
      <c r="C217" t="s">
        <v>6446</v>
      </c>
      <c r="D217" t="s">
        <v>6447</v>
      </c>
    </row>
    <row r="218" spans="1:4" x14ac:dyDescent="0.15">
      <c r="A218" t="s">
        <v>6448</v>
      </c>
      <c r="B218" t="s">
        <v>6449</v>
      </c>
      <c r="C218" t="s">
        <v>6450</v>
      </c>
      <c r="D218" t="s">
        <v>6451</v>
      </c>
    </row>
    <row r="219" spans="1:4" x14ac:dyDescent="0.15">
      <c r="A219" t="s">
        <v>6452</v>
      </c>
      <c r="B219" t="s">
        <v>6453</v>
      </c>
      <c r="C219" t="s">
        <v>6454</v>
      </c>
      <c r="D219" t="s">
        <v>6455</v>
      </c>
    </row>
    <row r="220" spans="1:4" x14ac:dyDescent="0.15">
      <c r="A220" t="s">
        <v>6456</v>
      </c>
      <c r="B220" t="s">
        <v>6457</v>
      </c>
      <c r="C220" t="s">
        <v>6458</v>
      </c>
      <c r="D220" t="s">
        <v>6459</v>
      </c>
    </row>
    <row r="221" spans="1:4" x14ac:dyDescent="0.15">
      <c r="A221" t="s">
        <v>6460</v>
      </c>
      <c r="B221" t="s">
        <v>6461</v>
      </c>
      <c r="C221" t="s">
        <v>6462</v>
      </c>
      <c r="D221" t="s">
        <v>6463</v>
      </c>
    </row>
    <row r="222" spans="1:4" x14ac:dyDescent="0.15">
      <c r="A222" t="s">
        <v>6464</v>
      </c>
      <c r="B222" t="s">
        <v>6465</v>
      </c>
      <c r="C222" t="s">
        <v>6466</v>
      </c>
      <c r="D222" t="s">
        <v>6467</v>
      </c>
    </row>
    <row r="223" spans="1:4" x14ac:dyDescent="0.15">
      <c r="A223" t="s">
        <v>6468</v>
      </c>
      <c r="B223" t="s">
        <v>6469</v>
      </c>
      <c r="C223" t="s">
        <v>6470</v>
      </c>
      <c r="D223" t="s">
        <v>6238</v>
      </c>
    </row>
    <row r="224" spans="1:4" x14ac:dyDescent="0.15">
      <c r="A224" t="s">
        <v>6471</v>
      </c>
      <c r="B224" t="s">
        <v>6472</v>
      </c>
      <c r="C224" t="s">
        <v>6473</v>
      </c>
      <c r="D224" t="s">
        <v>6474</v>
      </c>
    </row>
    <row r="225" spans="1:4" x14ac:dyDescent="0.15">
      <c r="A225" t="s">
        <v>6475</v>
      </c>
      <c r="B225" t="s">
        <v>6476</v>
      </c>
      <c r="C225" t="s">
        <v>6477</v>
      </c>
      <c r="D225" t="s">
        <v>6478</v>
      </c>
    </row>
    <row r="226" spans="1:4" x14ac:dyDescent="0.15">
      <c r="A226" t="s">
        <v>5889</v>
      </c>
      <c r="B226" t="s">
        <v>6479</v>
      </c>
      <c r="C226" t="s">
        <v>6480</v>
      </c>
      <c r="D226" t="s">
        <v>6481</v>
      </c>
    </row>
    <row r="227" spans="1:4" x14ac:dyDescent="0.15">
      <c r="A227" t="s">
        <v>6482</v>
      </c>
      <c r="B227" t="s">
        <v>6483</v>
      </c>
      <c r="C227" t="s">
        <v>6484</v>
      </c>
      <c r="D227" t="s">
        <v>6485</v>
      </c>
    </row>
    <row r="228" spans="1:4" x14ac:dyDescent="0.15">
      <c r="A228" t="s">
        <v>6486</v>
      </c>
      <c r="B228" t="s">
        <v>6487</v>
      </c>
      <c r="C228" t="s">
        <v>6488</v>
      </c>
      <c r="D228" t="s">
        <v>6489</v>
      </c>
    </row>
    <row r="229" spans="1:4" x14ac:dyDescent="0.15">
      <c r="A229" t="s">
        <v>6490</v>
      </c>
      <c r="B229" t="s">
        <v>6491</v>
      </c>
      <c r="C229" t="s">
        <v>6492</v>
      </c>
      <c r="D229" t="s">
        <v>6493</v>
      </c>
    </row>
    <row r="230" spans="1:4" x14ac:dyDescent="0.15">
      <c r="A230" t="s">
        <v>6494</v>
      </c>
      <c r="B230" t="s">
        <v>6495</v>
      </c>
      <c r="C230" t="s">
        <v>6496</v>
      </c>
      <c r="D230" t="s">
        <v>6497</v>
      </c>
    </row>
    <row r="231" spans="1:4" x14ac:dyDescent="0.15">
      <c r="A231" t="s">
        <v>6498</v>
      </c>
      <c r="B231" t="s">
        <v>6499</v>
      </c>
      <c r="C231" t="s">
        <v>6500</v>
      </c>
      <c r="D231" t="s">
        <v>6501</v>
      </c>
    </row>
    <row r="232" spans="1:4" x14ac:dyDescent="0.15">
      <c r="A232" t="s">
        <v>6502</v>
      </c>
      <c r="B232" t="s">
        <v>6503</v>
      </c>
      <c r="C232" t="s">
        <v>6504</v>
      </c>
      <c r="D232" t="s">
        <v>6505</v>
      </c>
    </row>
    <row r="233" spans="1:4" x14ac:dyDescent="0.15">
      <c r="A233" t="s">
        <v>6506</v>
      </c>
      <c r="B233" t="s">
        <v>6507</v>
      </c>
      <c r="C233" t="s">
        <v>6508</v>
      </c>
      <c r="D233" t="s">
        <v>6509</v>
      </c>
    </row>
    <row r="234" spans="1:4" x14ac:dyDescent="0.15">
      <c r="A234" t="s">
        <v>6510</v>
      </c>
      <c r="B234" t="s">
        <v>6511</v>
      </c>
      <c r="C234" t="s">
        <v>6512</v>
      </c>
      <c r="D234" t="s">
        <v>6513</v>
      </c>
    </row>
    <row r="235" spans="1:4" x14ac:dyDescent="0.15">
      <c r="A235" t="s">
        <v>6514</v>
      </c>
      <c r="B235" t="s">
        <v>6515</v>
      </c>
      <c r="C235" t="s">
        <v>6516</v>
      </c>
      <c r="D235" t="s">
        <v>6517</v>
      </c>
    </row>
    <row r="236" spans="1:4" x14ac:dyDescent="0.15">
      <c r="A236" t="s">
        <v>6518</v>
      </c>
      <c r="B236" t="s">
        <v>6519</v>
      </c>
      <c r="C236" t="s">
        <v>6520</v>
      </c>
      <c r="D236" t="s">
        <v>6521</v>
      </c>
    </row>
    <row r="237" spans="1:4" x14ac:dyDescent="0.15">
      <c r="A237" t="s">
        <v>6522</v>
      </c>
      <c r="B237" t="s">
        <v>6523</v>
      </c>
      <c r="C237" t="s">
        <v>6524</v>
      </c>
      <c r="D237" t="s">
        <v>6525</v>
      </c>
    </row>
    <row r="238" spans="1:4" x14ac:dyDescent="0.15">
      <c r="A238" t="s">
        <v>6526</v>
      </c>
      <c r="B238" t="s">
        <v>6527</v>
      </c>
      <c r="C238" t="s">
        <v>5680</v>
      </c>
      <c r="D238" t="s">
        <v>6528</v>
      </c>
    </row>
    <row r="239" spans="1:4" x14ac:dyDescent="0.15">
      <c r="A239" t="s">
        <v>6529</v>
      </c>
      <c r="B239" t="s">
        <v>6530</v>
      </c>
      <c r="C239" t="s">
        <v>6531</v>
      </c>
      <c r="D239" t="s">
        <v>6532</v>
      </c>
    </row>
    <row r="240" spans="1:4" x14ac:dyDescent="0.15">
      <c r="A240" t="s">
        <v>6533</v>
      </c>
      <c r="B240" t="s">
        <v>6534</v>
      </c>
      <c r="C240" t="s">
        <v>6158</v>
      </c>
      <c r="D240" t="s">
        <v>6535</v>
      </c>
    </row>
    <row r="241" spans="1:4" x14ac:dyDescent="0.15">
      <c r="A241" t="s">
        <v>6536</v>
      </c>
      <c r="B241" t="s">
        <v>6537</v>
      </c>
      <c r="C241" t="s">
        <v>6538</v>
      </c>
      <c r="D241" t="s">
        <v>6539</v>
      </c>
    </row>
    <row r="242" spans="1:4" x14ac:dyDescent="0.15">
      <c r="A242" t="s">
        <v>6540</v>
      </c>
      <c r="B242" t="s">
        <v>6541</v>
      </c>
      <c r="C242" t="s">
        <v>6542</v>
      </c>
      <c r="D242" t="s">
        <v>6540</v>
      </c>
    </row>
    <row r="243" spans="1:4" x14ac:dyDescent="0.15">
      <c r="A243" t="s">
        <v>6543</v>
      </c>
      <c r="B243" t="s">
        <v>6544</v>
      </c>
      <c r="C243" t="s">
        <v>5718</v>
      </c>
      <c r="D243" t="s">
        <v>6528</v>
      </c>
    </row>
    <row r="244" spans="1:4" x14ac:dyDescent="0.15">
      <c r="A244" t="s">
        <v>6545</v>
      </c>
      <c r="B244" t="s">
        <v>6546</v>
      </c>
      <c r="C244" t="s">
        <v>5983</v>
      </c>
      <c r="D244" t="s">
        <v>6547</v>
      </c>
    </row>
    <row r="245" spans="1:4" x14ac:dyDescent="0.15">
      <c r="A245" t="s">
        <v>6548</v>
      </c>
      <c r="B245" t="s">
        <v>6549</v>
      </c>
      <c r="C245" t="s">
        <v>6550</v>
      </c>
      <c r="D245" t="s">
        <v>6551</v>
      </c>
    </row>
    <row r="246" spans="1:4" x14ac:dyDescent="0.15">
      <c r="A246" t="s">
        <v>6552</v>
      </c>
      <c r="B246" t="s">
        <v>6553</v>
      </c>
      <c r="C246" t="s">
        <v>6554</v>
      </c>
      <c r="D246" t="s">
        <v>6555</v>
      </c>
    </row>
    <row r="247" spans="1:4" x14ac:dyDescent="0.15">
      <c r="A247" t="s">
        <v>6556</v>
      </c>
      <c r="B247" t="s">
        <v>6557</v>
      </c>
      <c r="C247" t="s">
        <v>6558</v>
      </c>
      <c r="D247" t="s">
        <v>6559</v>
      </c>
    </row>
    <row r="248" spans="1:4" x14ac:dyDescent="0.15">
      <c r="A248" t="s">
        <v>6560</v>
      </c>
      <c r="B248" t="s">
        <v>6561</v>
      </c>
      <c r="C248" t="s">
        <v>6562</v>
      </c>
      <c r="D248" t="s">
        <v>6563</v>
      </c>
    </row>
    <row r="249" spans="1:4" x14ac:dyDescent="0.15">
      <c r="A249" t="s">
        <v>6564</v>
      </c>
      <c r="B249" t="s">
        <v>6565</v>
      </c>
      <c r="C249" t="s">
        <v>6566</v>
      </c>
      <c r="D249" t="s">
        <v>6564</v>
      </c>
    </row>
    <row r="250" spans="1:4" x14ac:dyDescent="0.15">
      <c r="A250" t="s">
        <v>6567</v>
      </c>
      <c r="B250" t="s">
        <v>6568</v>
      </c>
      <c r="C250" t="s">
        <v>6569</v>
      </c>
      <c r="D250" t="s">
        <v>6570</v>
      </c>
    </row>
    <row r="251" spans="1:4" x14ac:dyDescent="0.15">
      <c r="A251" t="s">
        <v>6571</v>
      </c>
      <c r="B251" t="s">
        <v>6572</v>
      </c>
      <c r="C251" t="s">
        <v>6573</v>
      </c>
      <c r="D251" t="s">
        <v>6574</v>
      </c>
    </row>
    <row r="252" spans="1:4" x14ac:dyDescent="0.15">
      <c r="A252" t="s">
        <v>6575</v>
      </c>
      <c r="B252" t="s">
        <v>6576</v>
      </c>
      <c r="C252" t="s">
        <v>6577</v>
      </c>
      <c r="D252" t="s">
        <v>6578</v>
      </c>
    </row>
    <row r="253" spans="1:4" x14ac:dyDescent="0.15">
      <c r="A253" t="s">
        <v>6579</v>
      </c>
      <c r="B253" t="s">
        <v>6580</v>
      </c>
      <c r="C253" t="s">
        <v>6581</v>
      </c>
      <c r="D253" t="s">
        <v>6582</v>
      </c>
    </row>
    <row r="254" spans="1:4" x14ac:dyDescent="0.15">
      <c r="A254" t="s">
        <v>6583</v>
      </c>
      <c r="B254" t="s">
        <v>6584</v>
      </c>
      <c r="C254" t="s">
        <v>6412</v>
      </c>
      <c r="D254" t="s">
        <v>6585</v>
      </c>
    </row>
    <row r="255" spans="1:4" x14ac:dyDescent="0.15">
      <c r="A255" t="s">
        <v>6586</v>
      </c>
      <c r="B255" t="s">
        <v>6587</v>
      </c>
      <c r="C255" t="s">
        <v>6588</v>
      </c>
      <c r="D255" t="s">
        <v>6589</v>
      </c>
    </row>
    <row r="256" spans="1:4" x14ac:dyDescent="0.15">
      <c r="A256" t="s">
        <v>6590</v>
      </c>
      <c r="B256" t="s">
        <v>6591</v>
      </c>
      <c r="C256" t="s">
        <v>6592</v>
      </c>
      <c r="D256" t="s">
        <v>6593</v>
      </c>
    </row>
    <row r="257" spans="1:4" x14ac:dyDescent="0.15">
      <c r="A257" t="s">
        <v>6594</v>
      </c>
      <c r="B257" t="s">
        <v>6595</v>
      </c>
      <c r="C257" t="s">
        <v>6596</v>
      </c>
      <c r="D257" t="s">
        <v>6597</v>
      </c>
    </row>
    <row r="258" spans="1:4" x14ac:dyDescent="0.15">
      <c r="A258" t="s">
        <v>6598</v>
      </c>
      <c r="B258" t="s">
        <v>6599</v>
      </c>
      <c r="C258" t="s">
        <v>6600</v>
      </c>
      <c r="D258" t="s">
        <v>6601</v>
      </c>
    </row>
    <row r="259" spans="1:4" x14ac:dyDescent="0.15">
      <c r="A259" t="s">
        <v>6602</v>
      </c>
      <c r="B259" t="s">
        <v>6603</v>
      </c>
      <c r="C259" t="s">
        <v>6604</v>
      </c>
      <c r="D259" t="s">
        <v>6605</v>
      </c>
    </row>
    <row r="260" spans="1:4" x14ac:dyDescent="0.15">
      <c r="A260" t="s">
        <v>6606</v>
      </c>
      <c r="B260" t="s">
        <v>6607</v>
      </c>
      <c r="C260" t="s">
        <v>6608</v>
      </c>
      <c r="D260" t="s">
        <v>6609</v>
      </c>
    </row>
    <row r="261" spans="1:4" x14ac:dyDescent="0.15">
      <c r="A261" t="s">
        <v>6610</v>
      </c>
      <c r="B261" t="s">
        <v>6611</v>
      </c>
      <c r="C261" t="s">
        <v>6612</v>
      </c>
      <c r="D261" t="s">
        <v>6613</v>
      </c>
    </row>
    <row r="262" spans="1:4" x14ac:dyDescent="0.15">
      <c r="A262" t="s">
        <v>6614</v>
      </c>
      <c r="B262" t="s">
        <v>6615</v>
      </c>
      <c r="C262" t="s">
        <v>6616</v>
      </c>
      <c r="D262" t="s">
        <v>6617</v>
      </c>
    </row>
    <row r="263" spans="1:4" x14ac:dyDescent="0.15">
      <c r="A263" t="s">
        <v>6618</v>
      </c>
      <c r="B263" t="s">
        <v>6619</v>
      </c>
      <c r="C263" t="s">
        <v>6367</v>
      </c>
    </row>
    <row r="264" spans="1:4" x14ac:dyDescent="0.15">
      <c r="A264" t="s">
        <v>6620</v>
      </c>
      <c r="B264" t="s">
        <v>6621</v>
      </c>
      <c r="C264" t="s">
        <v>6622</v>
      </c>
      <c r="D264" t="s">
        <v>6623</v>
      </c>
    </row>
    <row r="265" spans="1:4" x14ac:dyDescent="0.15">
      <c r="A265" t="s">
        <v>6624</v>
      </c>
    </row>
    <row r="266" spans="1:4" x14ac:dyDescent="0.15">
      <c r="A266" t="s">
        <v>6625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41"/>
  <sheetViews>
    <sheetView zoomScale="175" zoomScaleNormal="175" workbookViewId="0">
      <pane ySplit="1" topLeftCell="A2" activePane="bottomLeft" state="frozen"/>
      <selection pane="bottomLeft" activeCell="A3" sqref="A3"/>
    </sheetView>
  </sheetViews>
  <sheetFormatPr defaultRowHeight="13.5" x14ac:dyDescent="0.15"/>
  <cols>
    <col min="1" max="1" width="63.5" customWidth="1"/>
  </cols>
  <sheetData>
    <row r="1" spans="1:1" x14ac:dyDescent="0.15">
      <c r="A1" s="1" t="s">
        <v>6626</v>
      </c>
    </row>
    <row r="3" spans="1:1" x14ac:dyDescent="0.15">
      <c r="A3" t="s">
        <v>6627</v>
      </c>
    </row>
    <row r="4" spans="1:1" x14ac:dyDescent="0.15">
      <c r="A4" t="s">
        <v>6628</v>
      </c>
    </row>
    <row r="5" spans="1:1" x14ac:dyDescent="0.15">
      <c r="A5" t="s">
        <v>6629</v>
      </c>
    </row>
    <row r="6" spans="1:1" x14ac:dyDescent="0.15">
      <c r="A6" t="s">
        <v>6630</v>
      </c>
    </row>
    <row r="7" spans="1:1" x14ac:dyDescent="0.15">
      <c r="A7" t="s">
        <v>6631</v>
      </c>
    </row>
    <row r="8" spans="1:1" x14ac:dyDescent="0.15">
      <c r="A8" t="s">
        <v>6632</v>
      </c>
    </row>
    <row r="9" spans="1:1" x14ac:dyDescent="0.15">
      <c r="A9" t="s">
        <v>6633</v>
      </c>
    </row>
    <row r="10" spans="1:1" x14ac:dyDescent="0.15">
      <c r="A10" t="s">
        <v>6634</v>
      </c>
    </row>
    <row r="11" spans="1:1" x14ac:dyDescent="0.15">
      <c r="A11" t="s">
        <v>6765</v>
      </c>
    </row>
    <row r="12" spans="1:1" x14ac:dyDescent="0.15">
      <c r="A12" t="s">
        <v>6635</v>
      </c>
    </row>
    <row r="13" spans="1:1" x14ac:dyDescent="0.15">
      <c r="A13" t="s">
        <v>6636</v>
      </c>
    </row>
    <row r="14" spans="1:1" x14ac:dyDescent="0.15">
      <c r="A14" t="s">
        <v>6637</v>
      </c>
    </row>
    <row r="15" spans="1:1" x14ac:dyDescent="0.15">
      <c r="A15" t="s">
        <v>6638</v>
      </c>
    </row>
    <row r="16" spans="1:1" x14ac:dyDescent="0.15">
      <c r="A16" t="s">
        <v>6639</v>
      </c>
    </row>
    <row r="17" spans="1:1" x14ac:dyDescent="0.15">
      <c r="A17" t="s">
        <v>6640</v>
      </c>
    </row>
    <row r="18" spans="1:1" x14ac:dyDescent="0.15">
      <c r="A18" t="s">
        <v>6641</v>
      </c>
    </row>
    <row r="19" spans="1:1" x14ac:dyDescent="0.15">
      <c r="A19" t="s">
        <v>6642</v>
      </c>
    </row>
    <row r="20" spans="1:1" x14ac:dyDescent="0.15">
      <c r="A20" t="s">
        <v>6643</v>
      </c>
    </row>
    <row r="21" spans="1:1" x14ac:dyDescent="0.15">
      <c r="A21" t="s">
        <v>6644</v>
      </c>
    </row>
    <row r="22" spans="1:1" x14ac:dyDescent="0.15">
      <c r="A22" t="s">
        <v>6645</v>
      </c>
    </row>
    <row r="23" spans="1:1" x14ac:dyDescent="0.15">
      <c r="A23" t="s">
        <v>6646</v>
      </c>
    </row>
    <row r="24" spans="1:1" x14ac:dyDescent="0.15">
      <c r="A24" t="s">
        <v>6647</v>
      </c>
    </row>
    <row r="25" spans="1:1" x14ac:dyDescent="0.15">
      <c r="A25" t="s">
        <v>6648</v>
      </c>
    </row>
    <row r="26" spans="1:1" x14ac:dyDescent="0.15">
      <c r="A26" t="s">
        <v>6649</v>
      </c>
    </row>
    <row r="27" spans="1:1" x14ac:dyDescent="0.15">
      <c r="A27" t="s">
        <v>6650</v>
      </c>
    </row>
    <row r="28" spans="1:1" x14ac:dyDescent="0.15">
      <c r="A28" t="s">
        <v>6651</v>
      </c>
    </row>
    <row r="29" spans="1:1" x14ac:dyDescent="0.15">
      <c r="A29" t="s">
        <v>6652</v>
      </c>
    </row>
    <row r="30" spans="1:1" x14ac:dyDescent="0.15">
      <c r="A30" t="s">
        <v>6653</v>
      </c>
    </row>
    <row r="31" spans="1:1" x14ac:dyDescent="0.15">
      <c r="A31" t="s">
        <v>6654</v>
      </c>
    </row>
    <row r="32" spans="1:1" x14ac:dyDescent="0.15">
      <c r="A32" t="s">
        <v>6655</v>
      </c>
    </row>
    <row r="33" spans="1:1" x14ac:dyDescent="0.15">
      <c r="A33" t="s">
        <v>6656</v>
      </c>
    </row>
    <row r="34" spans="1:1" x14ac:dyDescent="0.15">
      <c r="A34" t="s">
        <v>6657</v>
      </c>
    </row>
    <row r="35" spans="1:1" x14ac:dyDescent="0.15">
      <c r="A35" t="s">
        <v>6658</v>
      </c>
    </row>
    <row r="36" spans="1:1" x14ac:dyDescent="0.15">
      <c r="A36" t="s">
        <v>6659</v>
      </c>
    </row>
    <row r="37" spans="1:1" x14ac:dyDescent="0.15">
      <c r="A37" t="s">
        <v>6660</v>
      </c>
    </row>
    <row r="38" spans="1:1" x14ac:dyDescent="0.15">
      <c r="A38" t="s">
        <v>6661</v>
      </c>
    </row>
    <row r="39" spans="1:1" x14ac:dyDescent="0.15">
      <c r="A39" t="s">
        <v>6662</v>
      </c>
    </row>
    <row r="40" spans="1:1" x14ac:dyDescent="0.15">
      <c r="A40" t="s">
        <v>6663</v>
      </c>
    </row>
    <row r="41" spans="1:1" x14ac:dyDescent="0.15">
      <c r="A41" t="s">
        <v>6664</v>
      </c>
    </row>
    <row r="42" spans="1:1" x14ac:dyDescent="0.15">
      <c r="A42" t="s">
        <v>6665</v>
      </c>
    </row>
    <row r="43" spans="1:1" x14ac:dyDescent="0.15">
      <c r="A43" t="s">
        <v>6666</v>
      </c>
    </row>
    <row r="44" spans="1:1" x14ac:dyDescent="0.15">
      <c r="A44" t="s">
        <v>6667</v>
      </c>
    </row>
    <row r="45" spans="1:1" x14ac:dyDescent="0.15">
      <c r="A45" t="s">
        <v>6668</v>
      </c>
    </row>
    <row r="46" spans="1:1" x14ac:dyDescent="0.15">
      <c r="A46" t="s">
        <v>6669</v>
      </c>
    </row>
    <row r="47" spans="1:1" x14ac:dyDescent="0.15">
      <c r="A47" t="s">
        <v>6670</v>
      </c>
    </row>
    <row r="48" spans="1:1" x14ac:dyDescent="0.15">
      <c r="A48" t="s">
        <v>6671</v>
      </c>
    </row>
    <row r="49" spans="1:1" x14ac:dyDescent="0.15">
      <c r="A49" t="s">
        <v>6672</v>
      </c>
    </row>
    <row r="50" spans="1:1" x14ac:dyDescent="0.15">
      <c r="A50" t="s">
        <v>6673</v>
      </c>
    </row>
    <row r="51" spans="1:1" x14ac:dyDescent="0.15">
      <c r="A51" t="s">
        <v>6674</v>
      </c>
    </row>
    <row r="52" spans="1:1" x14ac:dyDescent="0.15">
      <c r="A52" t="s">
        <v>6675</v>
      </c>
    </row>
    <row r="53" spans="1:1" x14ac:dyDescent="0.15">
      <c r="A53" t="s">
        <v>6676</v>
      </c>
    </row>
    <row r="54" spans="1:1" x14ac:dyDescent="0.15">
      <c r="A54" t="s">
        <v>6677</v>
      </c>
    </row>
    <row r="55" spans="1:1" x14ac:dyDescent="0.15">
      <c r="A55" t="s">
        <v>6678</v>
      </c>
    </row>
    <row r="56" spans="1:1" x14ac:dyDescent="0.15">
      <c r="A56" t="s">
        <v>6679</v>
      </c>
    </row>
    <row r="57" spans="1:1" x14ac:dyDescent="0.15">
      <c r="A57" t="s">
        <v>6680</v>
      </c>
    </row>
    <row r="58" spans="1:1" x14ac:dyDescent="0.15">
      <c r="A58" t="s">
        <v>6681</v>
      </c>
    </row>
    <row r="59" spans="1:1" x14ac:dyDescent="0.15">
      <c r="A59" t="s">
        <v>6682</v>
      </c>
    </row>
    <row r="60" spans="1:1" x14ac:dyDescent="0.15">
      <c r="A60" t="s">
        <v>6683</v>
      </c>
    </row>
    <row r="61" spans="1:1" x14ac:dyDescent="0.15">
      <c r="A61" t="s">
        <v>6684</v>
      </c>
    </row>
    <row r="62" spans="1:1" x14ac:dyDescent="0.15">
      <c r="A62" t="s">
        <v>6685</v>
      </c>
    </row>
    <row r="63" spans="1:1" x14ac:dyDescent="0.15">
      <c r="A63" t="s">
        <v>6686</v>
      </c>
    </row>
    <row r="64" spans="1:1" x14ac:dyDescent="0.15">
      <c r="A64" t="s">
        <v>6687</v>
      </c>
    </row>
    <row r="65" spans="1:1" x14ac:dyDescent="0.15">
      <c r="A65" t="s">
        <v>6688</v>
      </c>
    </row>
    <row r="66" spans="1:1" x14ac:dyDescent="0.15">
      <c r="A66" t="s">
        <v>6689</v>
      </c>
    </row>
    <row r="67" spans="1:1" x14ac:dyDescent="0.15">
      <c r="A67" t="s">
        <v>6690</v>
      </c>
    </row>
    <row r="68" spans="1:1" x14ac:dyDescent="0.15">
      <c r="A68" t="s">
        <v>6691</v>
      </c>
    </row>
    <row r="69" spans="1:1" x14ac:dyDescent="0.15">
      <c r="A69" t="s">
        <v>6692</v>
      </c>
    </row>
    <row r="70" spans="1:1" x14ac:dyDescent="0.15">
      <c r="A70" t="s">
        <v>6693</v>
      </c>
    </row>
    <row r="71" spans="1:1" x14ac:dyDescent="0.15">
      <c r="A71" t="s">
        <v>6694</v>
      </c>
    </row>
    <row r="72" spans="1:1" x14ac:dyDescent="0.15">
      <c r="A72" t="s">
        <v>6695</v>
      </c>
    </row>
    <row r="73" spans="1:1" x14ac:dyDescent="0.15">
      <c r="A73" t="s">
        <v>6696</v>
      </c>
    </row>
    <row r="74" spans="1:1" x14ac:dyDescent="0.15">
      <c r="A74" t="s">
        <v>6697</v>
      </c>
    </row>
    <row r="75" spans="1:1" x14ac:dyDescent="0.15">
      <c r="A75" t="s">
        <v>6698</v>
      </c>
    </row>
    <row r="76" spans="1:1" x14ac:dyDescent="0.15">
      <c r="A76" t="s">
        <v>6699</v>
      </c>
    </row>
    <row r="77" spans="1:1" x14ac:dyDescent="0.15">
      <c r="A77" t="s">
        <v>6700</v>
      </c>
    </row>
    <row r="78" spans="1:1" x14ac:dyDescent="0.15">
      <c r="A78" t="s">
        <v>6701</v>
      </c>
    </row>
    <row r="79" spans="1:1" x14ac:dyDescent="0.15">
      <c r="A79" t="s">
        <v>6702</v>
      </c>
    </row>
    <row r="80" spans="1:1" x14ac:dyDescent="0.15">
      <c r="A80" t="s">
        <v>6703</v>
      </c>
    </row>
    <row r="81" spans="1:1" x14ac:dyDescent="0.15">
      <c r="A81" t="s">
        <v>6704</v>
      </c>
    </row>
    <row r="82" spans="1:1" x14ac:dyDescent="0.15">
      <c r="A82" t="s">
        <v>6705</v>
      </c>
    </row>
    <row r="83" spans="1:1" x14ac:dyDescent="0.15">
      <c r="A83" t="s">
        <v>6706</v>
      </c>
    </row>
    <row r="84" spans="1:1" x14ac:dyDescent="0.15">
      <c r="A84" t="s">
        <v>6707</v>
      </c>
    </row>
    <row r="85" spans="1:1" x14ac:dyDescent="0.15">
      <c r="A85" t="s">
        <v>6708</v>
      </c>
    </row>
    <row r="86" spans="1:1" x14ac:dyDescent="0.15">
      <c r="A86" t="s">
        <v>6709</v>
      </c>
    </row>
    <row r="87" spans="1:1" x14ac:dyDescent="0.15">
      <c r="A87" t="s">
        <v>6710</v>
      </c>
    </row>
    <row r="88" spans="1:1" x14ac:dyDescent="0.15">
      <c r="A88" t="s">
        <v>6711</v>
      </c>
    </row>
    <row r="89" spans="1:1" x14ac:dyDescent="0.15">
      <c r="A89" t="s">
        <v>6712</v>
      </c>
    </row>
    <row r="90" spans="1:1" x14ac:dyDescent="0.15">
      <c r="A90" t="s">
        <v>6713</v>
      </c>
    </row>
    <row r="91" spans="1:1" x14ac:dyDescent="0.15">
      <c r="A91" t="s">
        <v>6714</v>
      </c>
    </row>
    <row r="92" spans="1:1" x14ac:dyDescent="0.15">
      <c r="A92" t="s">
        <v>6715</v>
      </c>
    </row>
    <row r="93" spans="1:1" x14ac:dyDescent="0.15">
      <c r="A93" t="s">
        <v>6716</v>
      </c>
    </row>
    <row r="94" spans="1:1" x14ac:dyDescent="0.15">
      <c r="A94" t="s">
        <v>6717</v>
      </c>
    </row>
    <row r="95" spans="1:1" x14ac:dyDescent="0.15">
      <c r="A95" t="s">
        <v>6718</v>
      </c>
    </row>
    <row r="96" spans="1:1" x14ac:dyDescent="0.15">
      <c r="A96" t="s">
        <v>6719</v>
      </c>
    </row>
    <row r="97" spans="1:1" x14ac:dyDescent="0.15">
      <c r="A97" t="s">
        <v>6720</v>
      </c>
    </row>
    <row r="98" spans="1:1" x14ac:dyDescent="0.15">
      <c r="A98" t="s">
        <v>6721</v>
      </c>
    </row>
    <row r="99" spans="1:1" x14ac:dyDescent="0.15">
      <c r="A99" t="s">
        <v>6722</v>
      </c>
    </row>
    <row r="100" spans="1:1" x14ac:dyDescent="0.15">
      <c r="A100" t="s">
        <v>6723</v>
      </c>
    </row>
    <row r="101" spans="1:1" x14ac:dyDescent="0.15">
      <c r="A101" t="s">
        <v>6724</v>
      </c>
    </row>
    <row r="102" spans="1:1" x14ac:dyDescent="0.15">
      <c r="A102" t="s">
        <v>6725</v>
      </c>
    </row>
    <row r="103" spans="1:1" x14ac:dyDescent="0.15">
      <c r="A103" t="s">
        <v>6726</v>
      </c>
    </row>
    <row r="104" spans="1:1" x14ac:dyDescent="0.15">
      <c r="A104" t="s">
        <v>6727</v>
      </c>
    </row>
    <row r="105" spans="1:1" x14ac:dyDescent="0.15">
      <c r="A105" t="s">
        <v>6728</v>
      </c>
    </row>
    <row r="106" spans="1:1" x14ac:dyDescent="0.15">
      <c r="A106" t="s">
        <v>6729</v>
      </c>
    </row>
    <row r="107" spans="1:1" x14ac:dyDescent="0.15">
      <c r="A107" t="s">
        <v>6730</v>
      </c>
    </row>
    <row r="108" spans="1:1" x14ac:dyDescent="0.15">
      <c r="A108" t="s">
        <v>6731</v>
      </c>
    </row>
    <row r="109" spans="1:1" x14ac:dyDescent="0.15">
      <c r="A109" t="s">
        <v>6732</v>
      </c>
    </row>
    <row r="110" spans="1:1" x14ac:dyDescent="0.15">
      <c r="A110" t="s">
        <v>6733</v>
      </c>
    </row>
    <row r="111" spans="1:1" x14ac:dyDescent="0.15">
      <c r="A111" t="s">
        <v>6734</v>
      </c>
    </row>
    <row r="112" spans="1:1" x14ac:dyDescent="0.15">
      <c r="A112" t="s">
        <v>6735</v>
      </c>
    </row>
    <row r="113" spans="1:1" x14ac:dyDescent="0.15">
      <c r="A113" t="s">
        <v>6736</v>
      </c>
    </row>
    <row r="114" spans="1:1" x14ac:dyDescent="0.15">
      <c r="A114" t="s">
        <v>6737</v>
      </c>
    </row>
    <row r="115" spans="1:1" x14ac:dyDescent="0.15">
      <c r="A115" t="s">
        <v>6738</v>
      </c>
    </row>
    <row r="116" spans="1:1" x14ac:dyDescent="0.15">
      <c r="A116" t="s">
        <v>6739</v>
      </c>
    </row>
    <row r="117" spans="1:1" x14ac:dyDescent="0.15">
      <c r="A117" t="s">
        <v>6740</v>
      </c>
    </row>
    <row r="118" spans="1:1" x14ac:dyDescent="0.15">
      <c r="A118" t="s">
        <v>6741</v>
      </c>
    </row>
    <row r="119" spans="1:1" x14ac:dyDescent="0.15">
      <c r="A119" t="s">
        <v>6742</v>
      </c>
    </row>
    <row r="120" spans="1:1" x14ac:dyDescent="0.15">
      <c r="A120" t="s">
        <v>6743</v>
      </c>
    </row>
    <row r="121" spans="1:1" x14ac:dyDescent="0.15">
      <c r="A121" t="s">
        <v>6744</v>
      </c>
    </row>
    <row r="122" spans="1:1" x14ac:dyDescent="0.15">
      <c r="A122" t="s">
        <v>6745</v>
      </c>
    </row>
    <row r="123" spans="1:1" x14ac:dyDescent="0.15">
      <c r="A123" t="s">
        <v>6746</v>
      </c>
    </row>
    <row r="124" spans="1:1" x14ac:dyDescent="0.15">
      <c r="A124" t="s">
        <v>6747</v>
      </c>
    </row>
    <row r="125" spans="1:1" x14ac:dyDescent="0.15">
      <c r="A125" t="s">
        <v>6748</v>
      </c>
    </row>
    <row r="126" spans="1:1" x14ac:dyDescent="0.15">
      <c r="A126" t="s">
        <v>6749</v>
      </c>
    </row>
    <row r="127" spans="1:1" x14ac:dyDescent="0.15">
      <c r="A127" t="s">
        <v>6750</v>
      </c>
    </row>
    <row r="128" spans="1:1" x14ac:dyDescent="0.15">
      <c r="A128" t="s">
        <v>6751</v>
      </c>
    </row>
    <row r="129" spans="1:1" x14ac:dyDescent="0.15">
      <c r="A129" t="s">
        <v>6752</v>
      </c>
    </row>
    <row r="130" spans="1:1" x14ac:dyDescent="0.15">
      <c r="A130" t="s">
        <v>6753</v>
      </c>
    </row>
    <row r="131" spans="1:1" x14ac:dyDescent="0.15">
      <c r="A131" t="s">
        <v>6754</v>
      </c>
    </row>
    <row r="132" spans="1:1" x14ac:dyDescent="0.15">
      <c r="A132" t="s">
        <v>6755</v>
      </c>
    </row>
    <row r="133" spans="1:1" x14ac:dyDescent="0.15">
      <c r="A133" t="s">
        <v>6756</v>
      </c>
    </row>
    <row r="134" spans="1:1" x14ac:dyDescent="0.15">
      <c r="A134" t="s">
        <v>6757</v>
      </c>
    </row>
    <row r="135" spans="1:1" x14ac:dyDescent="0.15">
      <c r="A135" t="s">
        <v>6758</v>
      </c>
    </row>
    <row r="136" spans="1:1" x14ac:dyDescent="0.15">
      <c r="A136" t="s">
        <v>6759</v>
      </c>
    </row>
    <row r="137" spans="1:1" x14ac:dyDescent="0.15">
      <c r="A137" t="s">
        <v>6760</v>
      </c>
    </row>
    <row r="138" spans="1:1" x14ac:dyDescent="0.15">
      <c r="A138" t="s">
        <v>6761</v>
      </c>
    </row>
    <row r="139" spans="1:1" x14ac:dyDescent="0.15">
      <c r="A139" t="s">
        <v>6762</v>
      </c>
    </row>
    <row r="140" spans="1:1" x14ac:dyDescent="0.15">
      <c r="A140" t="s">
        <v>6763</v>
      </c>
    </row>
    <row r="141" spans="1:1" x14ac:dyDescent="0.15">
      <c r="A141" t="s">
        <v>6764</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O21" sqref="O21"/>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病名彙解などのWeb索引</vt:lpstr>
      <vt:lpstr>索引</vt:lpstr>
      <vt:lpstr>Sheet2</vt:lpstr>
      <vt:lpstr>Sheet3</vt:lpstr>
      <vt:lpstr>Sheet4</vt:lpstr>
      <vt:lpstr>Sheet5</vt:lpstr>
      <vt:lpstr>Sheet6</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2024-11-01T05:17:55Z</dcterms:modified>
</cp:coreProperties>
</file>