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D:\Desktop\"/>
    </mc:Choice>
  </mc:AlternateContent>
  <xr:revisionPtr revIDLastSave="0" documentId="13_ncr:1_{7B391397-03FF-45D7-908B-23482EE20112}" xr6:coauthVersionLast="47" xr6:coauthVersionMax="47" xr10:uidLastSave="{00000000-0000-0000-0000-000000000000}"/>
  <bookViews>
    <workbookView xWindow="-120" yWindow="-120" windowWidth="29040" windowHeight="15840" xr2:uid="{B9F9B1B2-6F27-4482-9622-1BDC84C4DAD3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89" i="1" l="1"/>
  <c r="M88" i="1"/>
  <c r="M87" i="1"/>
  <c r="M86" i="1"/>
  <c r="M85" i="1"/>
  <c r="M84" i="1"/>
  <c r="M83" i="1"/>
  <c r="M82" i="1"/>
  <c r="M81" i="1"/>
  <c r="M80" i="1"/>
  <c r="M79" i="1"/>
  <c r="M78" i="1"/>
  <c r="M77" i="1"/>
  <c r="M76" i="1"/>
  <c r="M75" i="1"/>
  <c r="M74" i="1"/>
  <c r="M73" i="1"/>
  <c r="M72" i="1"/>
  <c r="M71" i="1"/>
  <c r="M70" i="1"/>
  <c r="M69" i="1"/>
  <c r="M68" i="1"/>
  <c r="M67" i="1"/>
  <c r="M66" i="1"/>
  <c r="M65" i="1"/>
  <c r="M64" i="1"/>
  <c r="M63" i="1"/>
  <c r="M62" i="1"/>
  <c r="M61" i="1"/>
  <c r="M60" i="1"/>
  <c r="M59" i="1"/>
  <c r="M58" i="1"/>
  <c r="M57" i="1"/>
  <c r="M56" i="1"/>
  <c r="M55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2" i="1"/>
  <c r="G83" i="1"/>
  <c r="G84" i="1"/>
  <c r="G85" i="1"/>
  <c r="G86" i="1"/>
  <c r="G87" i="1"/>
  <c r="G88" i="1"/>
  <c r="G89" i="1"/>
  <c r="Q9" i="1"/>
  <c r="Q10" i="1"/>
  <c r="Q11" i="1"/>
  <c r="Q12" i="1"/>
  <c r="Q83" i="1"/>
  <c r="Q84" i="1"/>
  <c r="Q85" i="1"/>
  <c r="Q86" i="1"/>
  <c r="Q87" i="1"/>
  <c r="Q88" i="1"/>
  <c r="Q89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83" i="1"/>
  <c r="O84" i="1"/>
  <c r="O85" i="1"/>
  <c r="O86" i="1"/>
  <c r="O87" i="1"/>
  <c r="O88" i="1"/>
  <c r="O89" i="1"/>
  <c r="K9" i="1"/>
  <c r="K10" i="1"/>
  <c r="K12" i="1"/>
  <c r="K13" i="1"/>
  <c r="K14" i="1"/>
  <c r="K15" i="1"/>
  <c r="K16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C90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2" i="1"/>
  <c r="C83" i="1"/>
  <c r="C84" i="1"/>
  <c r="C85" i="1"/>
  <c r="C86" i="1"/>
  <c r="C87" i="1"/>
  <c r="C88" i="1"/>
  <c r="C89" i="1"/>
</calcChain>
</file>

<file path=xl/sharedStrings.xml><?xml version="1.0" encoding="utf-8"?>
<sst xmlns="http://schemas.openxmlformats.org/spreadsheetml/2006/main" count="363" uniqueCount="175">
  <si>
    <t>宋本素問</t>
    <rPh sb="0" eb="2">
      <t>ソウボン</t>
    </rPh>
    <rPh sb="2" eb="4">
      <t>ソモン</t>
    </rPh>
    <phoneticPr fontId="1"/>
  </si>
  <si>
    <t>◆上古天真論篇第一</t>
  </si>
  <si>
    <t>◆四気調神大論篇第二</t>
  </si>
  <si>
    <t>◆生気通天論篇第三</t>
  </si>
  <si>
    <t>◆金匱真言論篇第四</t>
  </si>
  <si>
    <t>◆陰陽応象大論篇第五</t>
  </si>
  <si>
    <t>◆陰陽離合論篇第六</t>
  </si>
  <si>
    <t>◆陰陽別論篇第七</t>
  </si>
  <si>
    <t>◆霊蘭秘典論篇第八</t>
  </si>
  <si>
    <t>◆六節蔵象論篇第九</t>
  </si>
  <si>
    <t>◆五蔵生成論篇第十</t>
  </si>
  <si>
    <t>◆五蔵別論篇第十一</t>
  </si>
  <si>
    <t>◆異法方宜論篇第十二</t>
  </si>
  <si>
    <t>◆移精変気論篇第十三</t>
  </si>
  <si>
    <t>◆湯液醪醴論篇第十四</t>
  </si>
  <si>
    <t>◆玉版論要篇第十五</t>
  </si>
  <si>
    <t>◆診要経終論篇第十六</t>
  </si>
  <si>
    <t>◆脈要精微論篇第十七</t>
  </si>
  <si>
    <t>◆平人気象論篇第十八</t>
  </si>
  <si>
    <t>◆玉機真蔵論篇第十九</t>
  </si>
  <si>
    <t>◆三部九候論篇第二十</t>
  </si>
  <si>
    <t>◆経脈別論篇第二十一</t>
  </si>
  <si>
    <t>◆蔵気法時論篇第二十二</t>
  </si>
  <si>
    <t>◆宣明五気篇第二十三</t>
  </si>
  <si>
    <t>◆血気形志篇第二十四</t>
  </si>
  <si>
    <t>◆宝命全形論篇第二十五</t>
  </si>
  <si>
    <t>◆八正神明論篇第二十六</t>
  </si>
  <si>
    <t>◆離合真邪論篇第二十七</t>
  </si>
  <si>
    <t>◆通評虚実論篇第二十八</t>
  </si>
  <si>
    <t>◆太陰陽明論篇第二十九</t>
  </si>
  <si>
    <t>◆陽明脈解篇第三十</t>
  </si>
  <si>
    <t>◆熱論篇第三十一</t>
  </si>
  <si>
    <t>◆刺熱篇第三十二</t>
  </si>
  <si>
    <t>◆評熱病論篇第三十三</t>
  </si>
  <si>
    <t>◆逆調論篇第三十四</t>
  </si>
  <si>
    <t>◆瘧論篇第三十五</t>
  </si>
  <si>
    <t>◆刺瘧篇第三十六</t>
  </si>
  <si>
    <t>◆気厥論篇第三十七</t>
  </si>
  <si>
    <t>◆欬論篇第三十八</t>
  </si>
  <si>
    <t>◆挙痛論篇第三十九</t>
  </si>
  <si>
    <t>◆腹中論篇第四十</t>
  </si>
  <si>
    <t>◆刺腰痛篇第四十一</t>
  </si>
  <si>
    <t>◆風論篇第四十二</t>
  </si>
  <si>
    <t>◆痺論篇第四十三</t>
  </si>
  <si>
    <t>◆痿論篇第四十四</t>
  </si>
  <si>
    <t>◆厥論篇第四十五</t>
  </si>
  <si>
    <t>◆病能論篇第四十六</t>
  </si>
  <si>
    <t>◆奇病論篇第四十七</t>
  </si>
  <si>
    <t>◆大奇論篇第四十八</t>
  </si>
  <si>
    <t>◆脈解篇第四十九</t>
  </si>
  <si>
    <t>◆刺要論篇第五十</t>
  </si>
  <si>
    <t>◆刺斉論篇第五十一</t>
  </si>
  <si>
    <t>◆刺禁論篇第五十二</t>
  </si>
  <si>
    <t>◆刺志論篇第五十三</t>
  </si>
  <si>
    <t>◆鍼解篇第五十四</t>
  </si>
  <si>
    <t>◆長刺節論篇第五十五</t>
  </si>
  <si>
    <t>◆皮部論篇第五十六</t>
  </si>
  <si>
    <t>◆経絡論篇第五十七</t>
  </si>
  <si>
    <t>◆気穴論篇第五十八</t>
  </si>
  <si>
    <t>◆気府論篇第五十九</t>
  </si>
  <si>
    <t>◆骨空論篇第六十</t>
  </si>
  <si>
    <t>◆水熱穴論篇第六十一</t>
  </si>
  <si>
    <t>◆調経論篇第六十二</t>
  </si>
  <si>
    <t>◆繆刺論篇第六十三</t>
  </si>
  <si>
    <t>◆四時刺逆従論篇第六十四</t>
  </si>
  <si>
    <t>◆標本病伝論篇第六十五</t>
  </si>
  <si>
    <t>◆天元紀大論篇第六十六</t>
  </si>
  <si>
    <t>◆五運行大論篇第六十七</t>
  </si>
  <si>
    <t>◆六微旨大論篇第六十八</t>
  </si>
  <si>
    <t>◆気交変大論篇第六十九</t>
  </si>
  <si>
    <t>◆五常政大論篇第七十</t>
  </si>
  <si>
    <t>◆六元正紀大論篇第七十一</t>
  </si>
  <si>
    <t>◆刺法論篇第七十二（亡）</t>
  </si>
  <si>
    <t>◆本病論篇第七十三（亡）</t>
  </si>
  <si>
    <t>◆至真要大論篇第七十四</t>
  </si>
  <si>
    <t>◆著至教論篇第七十五</t>
  </si>
  <si>
    <t>◆示従容論篇第七十六</t>
  </si>
  <si>
    <t>◆疏五過論篇第七十七</t>
  </si>
  <si>
    <t>◆徴四失論篇第七十八</t>
  </si>
  <si>
    <t>◆陰陽類論篇第七十九</t>
  </si>
  <si>
    <t>◆方盛衰論篇第八十</t>
  </si>
  <si>
    <t>◆解精微論篇第八十一</t>
  </si>
  <si>
    <t>目録</t>
    <rPh sb="0" eb="2">
      <t>モクロク</t>
    </rPh>
    <phoneticPr fontId="1"/>
  </si>
  <si>
    <t>序　多紀元堅</t>
    <rPh sb="0" eb="1">
      <t>ジョ</t>
    </rPh>
    <rPh sb="2" eb="6">
      <t>タキゲンケン</t>
    </rPh>
    <phoneticPr fontId="1"/>
  </si>
  <si>
    <t>序　王冰</t>
    <rPh sb="0" eb="1">
      <t>ジョ</t>
    </rPh>
    <rPh sb="2" eb="4">
      <t>オウヒョウ</t>
    </rPh>
    <phoneticPr fontId="1"/>
  </si>
  <si>
    <t>序　宋臣（林億等）</t>
    <rPh sb="0" eb="1">
      <t>ジョ</t>
    </rPh>
    <rPh sb="2" eb="4">
      <t>ソウシン</t>
    </rPh>
    <rPh sb="5" eb="7">
      <t>リンオク</t>
    </rPh>
    <rPh sb="7" eb="8">
      <t>ナド</t>
    </rPh>
    <phoneticPr fontId="1"/>
  </si>
  <si>
    <t>■</t>
    <phoneticPr fontId="1"/>
  </si>
  <si>
    <t>『素問校譌』</t>
    <rPh sb="0" eb="6">
      <t>コウカ</t>
    </rPh>
    <phoneticPr fontId="1"/>
  </si>
  <si>
    <t>京都大学貴重書デジタルアーカイブ</t>
  </si>
  <si>
    <t>富士川文庫</t>
  </si>
  <si>
    <t>https://rmda.kulib.kyoto-u.ac.jp/item/rb00002950</t>
  </si>
  <si>
    <t>レコードID　RB00002950</t>
  </si>
  <si>
    <t>出版年　1857</t>
  </si>
  <si>
    <t>タイトルヨミ　ジュウコウ ホチュウ コウテイ ナイキョウ ソモン</t>
  </si>
  <si>
    <t>別タイトル　ローマ字タイトル: Jūkō hochū kōtei naikyō somon</t>
  </si>
  <si>
    <t>外題:宋本素問</t>
  </si>
  <si>
    <t>著者　(唐)王冰編(宋)高保衡・林億校勘</t>
  </si>
  <si>
    <t>冊数　9</t>
  </si>
  <si>
    <t>出版年（和暦）　安政4年</t>
  </si>
  <si>
    <t>形態・版情報　刊 和大</t>
  </si>
  <si>
    <t>写刊の別　刊</t>
  </si>
  <si>
    <t>書誌情報</t>
  </si>
  <si>
    <t>書誌ID　200010570</t>
  </si>
  <si>
    <t>種別　国文研蔵</t>
  </si>
  <si>
    <t>記載書名</t>
  </si>
  <si>
    <t>1．黄帝内經素問註證發微（こうていないきょうそもんちゅうしょうはつび）（Kouteinaikyousomonchuushouhatsubi），内・目・外・序首</t>
  </si>
  <si>
    <t>2．内経素問註證發微（ないきょうそもんちゅうしょうはつび）（Naikyousomonchuushouhatsubi），見</t>
  </si>
  <si>
    <t>3．素問（そもん）（Somon），柱</t>
  </si>
  <si>
    <t>記載著者名</t>
  </si>
  <si>
    <t>（明）／馬／蒔 註証</t>
  </si>
  <si>
    <t>（明）／馬／蘊 素校</t>
  </si>
  <si>
    <t>巻数　巻之一～九</t>
  </si>
  <si>
    <t>刊写　刊</t>
  </si>
  <si>
    <t>冊数　１１冊</t>
  </si>
  <si>
    <t>書誌構造　合刻の内(1)</t>
  </si>
  <si>
    <t>親書誌　書名なし</t>
  </si>
  <si>
    <t>書誌注記</t>
  </si>
  <si>
    <t>〈版〉万暦１４年寶命堂刊の和刻。</t>
  </si>
  <si>
    <t>〈形〉目録外題あり，表紙補修あり。</t>
  </si>
  <si>
    <t>コレクション</t>
  </si>
  <si>
    <t>国文学研究資料館，一般</t>
  </si>
  <si>
    <t>https://kokusho.nijl.ac.jp/biblio/200010570</t>
    <phoneticPr fontId="1"/>
  </si>
  <si>
    <t>Webページ</t>
    <phoneticPr fontId="1"/>
  </si>
  <si>
    <t>内経素問註證發微</t>
  </si>
  <si>
    <t>素問諺解</t>
    <phoneticPr fontId="1"/>
  </si>
  <si>
    <t>素問要語集注</t>
    <rPh sb="0" eb="2">
      <t>ソモン</t>
    </rPh>
    <rPh sb="2" eb="4">
      <t>ヨウゴ</t>
    </rPh>
    <rPh sb="4" eb="6">
      <t>シッチュウ</t>
    </rPh>
    <phoneticPr fontId="1"/>
  </si>
  <si>
    <t>黄帝内経素問要語集注意翼</t>
    <rPh sb="0" eb="4">
      <t>コウテイダイケイ</t>
    </rPh>
    <rPh sb="4" eb="6">
      <t>ソモン</t>
    </rPh>
    <rPh sb="6" eb="8">
      <t>ヨウゴ</t>
    </rPh>
    <rPh sb="8" eb="10">
      <t>シッチュウ</t>
    </rPh>
    <rPh sb="11" eb="12">
      <t>ツバサ</t>
    </rPh>
    <phoneticPr fontId="1"/>
  </si>
  <si>
    <t>素問参楊</t>
    <rPh sb="0" eb="2">
      <t>ソモン</t>
    </rPh>
    <rPh sb="2" eb="3">
      <t>サン</t>
    </rPh>
    <rPh sb="3" eb="4">
      <t>ヨウ</t>
    </rPh>
    <phoneticPr fontId="1"/>
  </si>
  <si>
    <t>黄帝内経素問講義　</t>
    <rPh sb="0" eb="4">
      <t>コウテイダイケイ</t>
    </rPh>
    <rPh sb="4" eb="6">
      <t>ソモン</t>
    </rPh>
    <rPh sb="6" eb="8">
      <t>コウギ</t>
    </rPh>
    <phoneticPr fontId="1"/>
  </si>
  <si>
    <t>無し</t>
    <rPh sb="0" eb="1">
      <t>ナ</t>
    </rPh>
    <phoneticPr fontId="1"/>
  </si>
  <si>
    <t>欠</t>
    <rPh sb="0" eb="1">
      <t>ケツ</t>
    </rPh>
    <phoneticPr fontId="1"/>
  </si>
  <si>
    <t>　</t>
    <phoneticPr fontId="1"/>
  </si>
  <si>
    <t>馬玄台</t>
    <rPh sb="0" eb="3">
      <t>バゲンダイ</t>
    </rPh>
    <phoneticPr fontId="1"/>
  </si>
  <si>
    <t>岡本一抱</t>
    <rPh sb="0" eb="4">
      <t>オカモトイッポウ</t>
    </rPh>
    <phoneticPr fontId="1"/>
  </si>
  <si>
    <t>寛保4年(1744)</t>
    <rPh sb="0" eb="2">
      <t>カンポウ</t>
    </rPh>
    <phoneticPr fontId="1"/>
  </si>
  <si>
    <t>竹中通庵</t>
    <rPh sb="0" eb="4">
      <t>タケナカツウアン</t>
    </rPh>
    <phoneticPr fontId="1"/>
  </si>
  <si>
    <t>宝永3年(1706)</t>
    <rPh sb="0" eb="2">
      <t>ホウエイ</t>
    </rPh>
    <phoneticPr fontId="1"/>
  </si>
  <si>
    <t>元文5年(1740)</t>
    <rPh sb="0" eb="2">
      <t>ゲンブン</t>
    </rPh>
    <phoneticPr fontId="1"/>
  </si>
  <si>
    <t>多紀元堅</t>
    <rPh sb="0" eb="4">
      <t>タキゲンケン</t>
    </rPh>
    <phoneticPr fontId="1"/>
  </si>
  <si>
    <t>天保14年(1843)</t>
    <rPh sb="0" eb="2">
      <t>テンポウ</t>
    </rPh>
    <phoneticPr fontId="1"/>
  </si>
  <si>
    <t>喜多村栲窓(直寛、士栗)</t>
  </si>
  <si>
    <t>嘉永7年(1854)</t>
    <rPh sb="0" eb="2">
      <t>カエイ</t>
    </rPh>
    <phoneticPr fontId="1"/>
  </si>
  <si>
    <t>https://kokusho.nijl.ac.jp/biblio/100383698/114</t>
    <phoneticPr fontId="1"/>
  </si>
  <si>
    <t>書誌ID　100383698</t>
  </si>
  <si>
    <t>種別　マイクロ／デジタル</t>
  </si>
  <si>
    <t>標目書名　黄帝内経素問講義（こうていないきょうそもんこうぎ）（Kouteinaikyousomonkougi），Ｍ</t>
  </si>
  <si>
    <t>1．黃帝内經素問講義（こうていないきょうそもんこうぎ）（Kouteinaikyousomonkougi），内</t>
  </si>
  <si>
    <t>記載著者名　喜多村／直寛／士栗 学</t>
  </si>
  <si>
    <t>巻数　巻第一～一二</t>
  </si>
  <si>
    <t>刊写　写</t>
  </si>
  <si>
    <t>冊数　１２冊</t>
  </si>
  <si>
    <t>〈注〉嘉永７年自序・同年自跋，冒頭に素問講義採摭諸家姓氏・素問総説を付す，巻第二末尾に「此巻□借失于人今手自鈔冩（…）是月念一日校了」とあり，料紙の柱に学訓堂蔵とあり，胡粉による修正あり，（印記）「荒井泰治氏ノ寄附金ヲ以テ購入セル文學博士狩野亨吉氏舊藏書」「岡氏弆藏」。</t>
  </si>
  <si>
    <t>東北大学附属図書館，一般，伊-389</t>
  </si>
  <si>
    <t>https://kokusho.nijl.ac.jp/biblio/100383698/</t>
  </si>
  <si>
    <t>書誌ID　100315517</t>
  </si>
  <si>
    <t>標目書名</t>
  </si>
  <si>
    <t>黄帝内経素問講義（こうていないきょうそもんこうぎ）（Kouteinaikyousomonkougi），Ａ</t>
  </si>
  <si>
    <t>1．黄帝内経素問講義（こうていないきょうそもんこうぎ）（Kouteinaikyousomonkougi），内</t>
  </si>
  <si>
    <t>記載著者名　喜多村／栲窓／（直寛／士栗）</t>
  </si>
  <si>
    <t>形態　中</t>
  </si>
  <si>
    <t>残欠　巻第一欠</t>
  </si>
  <si>
    <t>https://kokusho.nijl.ac.jp/biblio/100315517/</t>
  </si>
  <si>
    <t>張志聡</t>
  </si>
  <si>
    <t>15ページから</t>
  </si>
  <si>
    <t>素問集注</t>
  </si>
  <si>
    <t>巻数</t>
  </si>
  <si>
    <t>９巻霊枢経９巻</t>
  </si>
  <si>
    <t>旧蔵者</t>
  </si>
  <si>
    <t>紅葉山文庫</t>
  </si>
  <si>
    <t>https://www.digital.archives.go.jp/img/4432292</t>
    <phoneticPr fontId="1"/>
  </si>
  <si>
    <t>刊本（序刊） ,清康煕 ,清康煕11年　1672年</t>
    <rPh sb="24" eb="25">
      <t>ネン</t>
    </rPh>
    <phoneticPr fontId="1"/>
  </si>
  <si>
    <t>清康煕11年（1672年）</t>
  </si>
  <si>
    <t>万暦14年（1586年）</t>
    <rPh sb="4" eb="5">
      <t>ネン</t>
    </rPh>
    <phoneticPr fontId="1"/>
  </si>
  <si>
    <t>TOPに戻る</t>
    <rPh sb="4" eb="5">
      <t>モド</t>
    </rPh>
    <phoneticPr fontId="1"/>
  </si>
  <si>
    <t>安政4年（1857年）</t>
    <rPh sb="9" eb="10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</si>
</sst>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color rgb="FF333333"/>
      <name val="メイリオ"/>
      <family val="3"/>
      <charset val="128"/>
    </font>
    <font>
      <sz val="11"/>
      <color theme="10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rgb="FFFFFFFF"/>
      </bottom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2" borderId="1" xfId="1" applyFill="1" applyBorder="1">
      <alignment vertical="center"/>
    </xf>
    <xf numFmtId="0" fontId="0" fillId="2" borderId="1" xfId="0" applyFill="1" applyBorder="1">
      <alignment vertical="center"/>
    </xf>
    <xf numFmtId="0" fontId="2" fillId="0" borderId="0" xfId="1">
      <alignment vertical="center"/>
    </xf>
    <xf numFmtId="0" fontId="3" fillId="3" borderId="0" xfId="0" applyFont="1" applyFill="1">
      <alignment vertical="center"/>
    </xf>
    <xf numFmtId="0" fontId="0" fillId="3" borderId="0" xfId="0" applyFill="1">
      <alignment vertical="center"/>
    </xf>
    <xf numFmtId="0" fontId="4" fillId="0" borderId="1" xfId="0" applyFont="1" applyBorder="1">
      <alignment vertical="center"/>
    </xf>
    <xf numFmtId="0" fontId="2" fillId="2" borderId="1" xfId="1" applyFill="1" applyBorder="1" applyAlignment="1">
      <alignment vertical="center" wrapText="1"/>
    </xf>
    <xf numFmtId="0" fontId="2" fillId="0" borderId="1" xfId="1" applyBorder="1">
      <alignment vertical="center"/>
    </xf>
    <xf numFmtId="0" fontId="0" fillId="3" borderId="1" xfId="0" applyFill="1" applyBorder="1">
      <alignment vertical="center"/>
    </xf>
    <xf numFmtId="0" fontId="0" fillId="3" borderId="1" xfId="0" applyFill="1" applyBorder="1" applyAlignment="1">
      <alignment vertical="center" wrapText="1"/>
    </xf>
    <xf numFmtId="0" fontId="2" fillId="3" borderId="1" xfId="1" applyFill="1" applyBorder="1" applyAlignment="1">
      <alignment vertical="center" wrapText="1"/>
    </xf>
    <xf numFmtId="0" fontId="0" fillId="2" borderId="0" xfId="0" applyFill="1">
      <alignment vertical="center"/>
    </xf>
    <xf numFmtId="0" fontId="5" fillId="0" borderId="0" xfId="0" applyFont="1">
      <alignment vertical="center"/>
    </xf>
    <xf numFmtId="0" fontId="5" fillId="0" borderId="2" xfId="0" applyFont="1" applyBorder="1" applyAlignment="1">
      <alignment horizontal="left" vertical="center" wrapText="1" indent="1"/>
    </xf>
    <xf numFmtId="0" fontId="0" fillId="0" borderId="1" xfId="0" applyFill="1" applyBorder="1">
      <alignment vertical="center"/>
    </xf>
    <xf numFmtId="0" fontId="2" fillId="4" borderId="1" xfId="1" applyFill="1" applyBorder="1" applyAlignment="1">
      <alignment vertical="center" wrapText="1"/>
    </xf>
    <xf numFmtId="0" fontId="2" fillId="5" borderId="1" xfId="1" applyFill="1" applyBorder="1" applyAlignment="1">
      <alignment vertical="center" wrapText="1"/>
    </xf>
    <xf numFmtId="0" fontId="2" fillId="0" borderId="1" xfId="1" applyFill="1" applyBorder="1" applyAlignment="1">
      <alignment vertical="center" wrapText="1"/>
    </xf>
    <xf numFmtId="0" fontId="2" fillId="5" borderId="1" xfId="1" applyFill="1" applyBorder="1">
      <alignment vertical="center"/>
    </xf>
    <xf numFmtId="0" fontId="6" fillId="0" borderId="1" xfId="1" applyFont="1" applyFill="1" applyBorder="1">
      <alignment vertical="center"/>
    </xf>
    <xf numFmtId="0" fontId="2" fillId="0" borderId="1" xfId="1" applyFill="1" applyBorder="1">
      <alignment vertical="center"/>
    </xf>
    <xf numFmtId="0" fontId="0" fillId="4" borderId="1" xfId="0" applyFill="1" applyBorder="1">
      <alignment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rmda.kulib.kyoto-u.ac.jp/item/rb00004541" TargetMode="External"/><Relationship Id="rId2" Type="http://schemas.openxmlformats.org/officeDocument/2006/relationships/hyperlink" Target="https://rmda.kulib.kyoto-u.ac.jp/item/rb00002414" TargetMode="External"/><Relationship Id="rId1" Type="http://schemas.openxmlformats.org/officeDocument/2006/relationships/hyperlink" Target="https://rmda.kulib.kyoto-u.ac.jp/item/rb00002950" TargetMode="External"/><Relationship Id="rId6" Type="http://schemas.openxmlformats.org/officeDocument/2006/relationships/hyperlink" Target="https://rmda.kulib.kyoto-u.ac.jp/item/rb00000334" TargetMode="External"/><Relationship Id="rId5" Type="http://schemas.openxmlformats.org/officeDocument/2006/relationships/hyperlink" Target="https://rmda.kulib.kyoto-u.ac.jp/item/rb00002410" TargetMode="External"/><Relationship Id="rId4" Type="http://schemas.openxmlformats.org/officeDocument/2006/relationships/hyperlink" Target="https://rmda.kulib.kyoto-u.ac.jp/item/rb00000296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digital.archives.go.jp/img/4432292" TargetMode="External"/><Relationship Id="rId2" Type="http://schemas.openxmlformats.org/officeDocument/2006/relationships/hyperlink" Target="https://kokusho.nijl.ac.jp/biblio/100383698/114" TargetMode="External"/><Relationship Id="rId1" Type="http://schemas.openxmlformats.org/officeDocument/2006/relationships/hyperlink" Target="https://kokusho.nijl.ac.jp/biblio/20001057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A27360-1897-4749-81CC-F117D29B6C93}">
  <dimension ref="A1:R90"/>
  <sheetViews>
    <sheetView tabSelected="1" zoomScale="160" zoomScaleNormal="16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3" sqref="A3"/>
    </sheetView>
  </sheetViews>
  <sheetFormatPr defaultRowHeight="18.75" x14ac:dyDescent="0.4"/>
  <cols>
    <col min="1" max="1" width="23.25" customWidth="1"/>
    <col min="3" max="3" width="12.375" customWidth="1"/>
    <col min="17" max="17" width="11.375" customWidth="1"/>
  </cols>
  <sheetData>
    <row r="1" spans="1:18" ht="56.25" x14ac:dyDescent="0.4">
      <c r="A1" s="20" t="s">
        <v>173</v>
      </c>
      <c r="B1" s="2" t="s">
        <v>0</v>
      </c>
      <c r="C1" s="2"/>
      <c r="D1" s="11" t="s">
        <v>123</v>
      </c>
      <c r="E1" s="10"/>
      <c r="F1" s="10" t="s">
        <v>164</v>
      </c>
      <c r="G1" s="10"/>
      <c r="H1" s="17" t="s">
        <v>125</v>
      </c>
      <c r="I1" s="17"/>
      <c r="J1" s="8" t="s">
        <v>126</v>
      </c>
      <c r="K1" s="8"/>
      <c r="L1" s="18" t="s">
        <v>124</v>
      </c>
      <c r="M1" s="18"/>
      <c r="N1" s="12" t="s">
        <v>127</v>
      </c>
      <c r="O1" s="12"/>
      <c r="P1" s="8" t="s">
        <v>128</v>
      </c>
      <c r="Q1" s="8"/>
    </row>
    <row r="2" spans="1:18" x14ac:dyDescent="0.4">
      <c r="A2" s="1"/>
      <c r="B2" s="22"/>
      <c r="C2" s="22"/>
      <c r="D2" s="16" t="s">
        <v>132</v>
      </c>
      <c r="E2" s="16"/>
      <c r="F2" s="16" t="s">
        <v>162</v>
      </c>
      <c r="G2" s="16"/>
      <c r="H2" s="1" t="s">
        <v>135</v>
      </c>
      <c r="I2" s="19"/>
      <c r="J2" s="1" t="s">
        <v>135</v>
      </c>
      <c r="K2" s="19"/>
      <c r="L2" s="1" t="s">
        <v>133</v>
      </c>
      <c r="M2" s="19"/>
      <c r="N2" s="1" t="s">
        <v>138</v>
      </c>
      <c r="O2" s="19"/>
      <c r="P2" s="1" t="s">
        <v>140</v>
      </c>
      <c r="Q2" s="19"/>
    </row>
    <row r="3" spans="1:18" x14ac:dyDescent="0.4">
      <c r="A3" s="1"/>
      <c r="B3" s="21" t="s">
        <v>174</v>
      </c>
      <c r="C3" s="22"/>
      <c r="D3" s="16" t="s">
        <v>172</v>
      </c>
      <c r="E3" s="16"/>
      <c r="F3" s="16" t="s">
        <v>171</v>
      </c>
      <c r="G3" s="16"/>
      <c r="H3" s="1" t="s">
        <v>136</v>
      </c>
      <c r="I3" s="19"/>
      <c r="J3" s="1" t="s">
        <v>137</v>
      </c>
      <c r="K3" s="19"/>
      <c r="L3" s="1" t="s">
        <v>134</v>
      </c>
      <c r="M3" s="19"/>
      <c r="N3" s="1" t="s">
        <v>139</v>
      </c>
      <c r="O3" s="19"/>
      <c r="P3" s="1" t="s">
        <v>141</v>
      </c>
      <c r="Q3" s="19"/>
    </row>
    <row r="4" spans="1:18" x14ac:dyDescent="0.4">
      <c r="A4" s="1"/>
      <c r="B4" s="1" t="s">
        <v>122</v>
      </c>
      <c r="C4" s="9"/>
      <c r="D4" s="1" t="s">
        <v>122</v>
      </c>
      <c r="E4" s="9"/>
      <c r="F4" s="1" t="s">
        <v>122</v>
      </c>
      <c r="G4" s="9"/>
      <c r="H4" s="1" t="s">
        <v>122</v>
      </c>
      <c r="I4" s="1"/>
      <c r="J4" s="1" t="s">
        <v>122</v>
      </c>
      <c r="K4" s="1"/>
      <c r="L4" s="1" t="s">
        <v>122</v>
      </c>
      <c r="M4" s="1"/>
      <c r="N4" s="1" t="s">
        <v>122</v>
      </c>
      <c r="O4" s="1"/>
      <c r="P4" s="1" t="s">
        <v>122</v>
      </c>
      <c r="Q4" s="1"/>
    </row>
    <row r="5" spans="1:18" x14ac:dyDescent="0.4">
      <c r="A5" s="23" t="s">
        <v>83</v>
      </c>
      <c r="B5" s="1">
        <v>6</v>
      </c>
      <c r="C5" s="9" t="str">
        <f>HYPERLINK("https://rmda.kulib.kyoto-u.ac.jp/item/rb00002950?page=6")</f>
        <v>https://rmda.kulib.kyoto-u.ac.jp/item/rb00002950?page=6</v>
      </c>
      <c r="D5" s="1" t="s">
        <v>131</v>
      </c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8" x14ac:dyDescent="0.4">
      <c r="A6" s="23" t="s">
        <v>82</v>
      </c>
      <c r="B6" s="1">
        <v>13</v>
      </c>
      <c r="C6" s="9" t="str">
        <f>HYPERLINK("https://rmda.kulib.kyoto-u.ac.jp/item/rb00002950?page=13")</f>
        <v>https://rmda.kulib.kyoto-u.ac.jp/item/rb00002950?page=13</v>
      </c>
      <c r="D6" s="1" t="s">
        <v>131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1:18" x14ac:dyDescent="0.4">
      <c r="A7" s="23" t="s">
        <v>85</v>
      </c>
      <c r="B7" s="1">
        <v>17</v>
      </c>
      <c r="C7" s="9" t="str">
        <f>HYPERLINK("https://rmda.kulib.kyoto-u.ac.jp/item/rb00002950?page=17")</f>
        <v>https://rmda.kulib.kyoto-u.ac.jp/item/rb00002950?page=17</v>
      </c>
      <c r="D7" s="1" t="s">
        <v>131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1:18" x14ac:dyDescent="0.4">
      <c r="A8" s="23" t="s">
        <v>84</v>
      </c>
      <c r="B8" s="1">
        <v>19</v>
      </c>
      <c r="C8" s="9" t="str">
        <f>HYPERLINK("https://rmda.kulib.kyoto-u.ac.jp/item/rb00002950?page=19")</f>
        <v>https://rmda.kulib.kyoto-u.ac.jp/item/rb00002950?page=19</v>
      </c>
      <c r="D8" s="1" t="s">
        <v>131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8" x14ac:dyDescent="0.4">
      <c r="A9" s="1" t="s">
        <v>1</v>
      </c>
      <c r="B9" s="1">
        <v>22</v>
      </c>
      <c r="C9" s="9" t="str">
        <f>HYPERLINK("https://rmda.kulib.kyoto-u.ac.jp/item/rb00002950?page=22")</f>
        <v>https://rmda.kulib.kyoto-u.ac.jp/item/rb00002950?page=22</v>
      </c>
      <c r="D9" s="1">
        <v>14</v>
      </c>
      <c r="E9" s="1" t="str">
        <f>HYPERLINK("https://kokusho.nijl.ac.jp/biblio/200010570/14")</f>
        <v>https://kokusho.nijl.ac.jp/biblio/200010570/14</v>
      </c>
      <c r="F9" s="1">
        <v>15</v>
      </c>
      <c r="G9" s="1" t="str">
        <f>HYPERLINK("https://www.digital.archives.go.jp/img/4432292/15")</f>
        <v>https://www.digital.archives.go.jp/img/4432292/15</v>
      </c>
      <c r="H9" s="7">
        <v>52</v>
      </c>
      <c r="I9" s="1" t="str">
        <f>HYPERLINK("https://rmda.kulib.kyoto-u.ac.jp/item/rb00002414?page=52")</f>
        <v>https://rmda.kulib.kyoto-u.ac.jp/item/rb00002414?page=52</v>
      </c>
      <c r="J9" s="1">
        <v>38</v>
      </c>
      <c r="K9" s="9" t="str">
        <f>HYPERLINK("https://rmda.kulib.kyoto-u.ac.jp/item/rb00004541?page=38")</f>
        <v>https://rmda.kulib.kyoto-u.ac.jp/item/rb00004541?page=38</v>
      </c>
      <c r="L9" s="1">
        <v>14</v>
      </c>
      <c r="M9" s="1" t="str">
        <f>HYPERLINK("https://rmda.kulib.kyoto-u.ac.jp/item/rb00000334?page=14")</f>
        <v>https://rmda.kulib.kyoto-u.ac.jp/item/rb00000334?page=14</v>
      </c>
      <c r="N9" s="1">
        <v>4</v>
      </c>
      <c r="O9" s="1" t="str">
        <f>HYPERLINK("https://rmda.kulib.kyoto-u.ac.jp/item/rb00000296?page=4")</f>
        <v>https://rmda.kulib.kyoto-u.ac.jp/item/rb00000296?page=4</v>
      </c>
      <c r="P9" s="1">
        <v>19</v>
      </c>
      <c r="Q9" s="1" t="str">
        <f>HYPERLINK("https://kokusho.nijl.ac.jp/biblio/100383698/19")</f>
        <v>https://kokusho.nijl.ac.jp/biblio/100383698/19</v>
      </c>
      <c r="R9" t="s">
        <v>131</v>
      </c>
    </row>
    <row r="10" spans="1:18" x14ac:dyDescent="0.4">
      <c r="A10" s="1" t="s">
        <v>2</v>
      </c>
      <c r="B10" s="1">
        <v>27</v>
      </c>
      <c r="C10" s="9" t="str">
        <f>HYPERLINK("https://rmda.kulib.kyoto-u.ac.jp/item/rb00002950?page=27")</f>
        <v>https://rmda.kulib.kyoto-u.ac.jp/item/rb00002950?page=27</v>
      </c>
      <c r="D10" s="1">
        <v>24</v>
      </c>
      <c r="E10" s="1" t="str">
        <f>HYPERLINK("https://kokusho.nijl.ac.jp/biblio/200010570/24")</f>
        <v>https://kokusho.nijl.ac.jp/biblio/200010570/24</v>
      </c>
      <c r="F10" s="1">
        <v>22</v>
      </c>
      <c r="G10" s="1" t="str">
        <f>HYPERLINK("https://www.digital.archives.go.jp/img/4432292/22")</f>
        <v>https://www.digital.archives.go.jp/img/4432292/22</v>
      </c>
      <c r="H10" s="7">
        <v>59</v>
      </c>
      <c r="I10" s="1" t="str">
        <f>HYPERLINK("https://rmda.kulib.kyoto-u.ac.jp/item/rb00002414?page=59")</f>
        <v>https://rmda.kulib.kyoto-u.ac.jp/item/rb00002414?page=59</v>
      </c>
      <c r="J10" s="1">
        <v>141</v>
      </c>
      <c r="K10" s="1" t="str">
        <f>HYPERLINK("https://rmda.kulib.kyoto-u.ac.jp/item/rb00004541?page=141")</f>
        <v>https://rmda.kulib.kyoto-u.ac.jp/item/rb00004541?page=141</v>
      </c>
      <c r="L10" s="1">
        <v>28</v>
      </c>
      <c r="M10" s="1" t="str">
        <f>HYPERLINK("https://rmda.kulib.kyoto-u.ac.jp/item/rb00000334?page=28")</f>
        <v>https://rmda.kulib.kyoto-u.ac.jp/item/rb00000334?page=28</v>
      </c>
      <c r="N10" s="1">
        <v>6</v>
      </c>
      <c r="O10" s="1" t="str">
        <f>HYPERLINK("https://rmda.kulib.kyoto-u.ac.jp/item/rb00000296?page=6")</f>
        <v>https://rmda.kulib.kyoto-u.ac.jp/item/rb00000296?page=6</v>
      </c>
      <c r="P10" s="1">
        <v>45</v>
      </c>
      <c r="Q10" s="1" t="str">
        <f>HYPERLINK("https://kokusho.nijl.ac.jp/biblio/100383698/45")</f>
        <v>https://kokusho.nijl.ac.jp/biblio/100383698/45</v>
      </c>
      <c r="R10" t="s">
        <v>131</v>
      </c>
    </row>
    <row r="11" spans="1:18" x14ac:dyDescent="0.4">
      <c r="A11" s="1" t="s">
        <v>3</v>
      </c>
      <c r="B11" s="1">
        <v>31</v>
      </c>
      <c r="C11" s="9" t="str">
        <f>HYPERLINK("https://rmda.kulib.kyoto-u.ac.jp/item/rb00002950?page=31")</f>
        <v>https://rmda.kulib.kyoto-u.ac.jp/item/rb00002950?page=31</v>
      </c>
      <c r="D11" s="1">
        <v>32</v>
      </c>
      <c r="E11" s="1" t="str">
        <f>HYPERLINK("https://kokusho.nijl.ac.jp/biblio/200010570/32")</f>
        <v>https://kokusho.nijl.ac.jp/biblio/200010570/32</v>
      </c>
      <c r="F11" s="1">
        <v>28</v>
      </c>
      <c r="G11" s="1" t="str">
        <f>HYPERLINK("https://www.digital.archives.go.jp/img/4432292/28")</f>
        <v>https://www.digital.archives.go.jp/img/4432292/28</v>
      </c>
      <c r="H11" s="7">
        <v>64</v>
      </c>
      <c r="I11" s="1" t="str">
        <f>HYPERLINK("https://rmda.kulib.kyoto-u.ac.jp/item/rb00002414?page=64")</f>
        <v>https://rmda.kulib.kyoto-u.ac.jp/item/rb00002414?page=64</v>
      </c>
      <c r="J11" s="1" t="s">
        <v>129</v>
      </c>
      <c r="K11" s="1"/>
      <c r="L11" s="1">
        <v>34</v>
      </c>
      <c r="M11" s="1" t="str">
        <f>HYPERLINK("https://rmda.kulib.kyoto-u.ac.jp/item/rb00000334?page=34")</f>
        <v>https://rmda.kulib.kyoto-u.ac.jp/item/rb00000334?page=34</v>
      </c>
      <c r="N11" s="1">
        <v>13</v>
      </c>
      <c r="O11" s="1" t="str">
        <f>HYPERLINK("https://rmda.kulib.kyoto-u.ac.jp/item/rb00000296?page=13")</f>
        <v>https://rmda.kulib.kyoto-u.ac.jp/item/rb00000296?page=13</v>
      </c>
      <c r="P11" s="1">
        <v>61</v>
      </c>
      <c r="Q11" s="1" t="str">
        <f>HYPERLINK("https://kokusho.nijl.ac.jp/biblio/100383698/61")</f>
        <v>https://kokusho.nijl.ac.jp/biblio/100383698/61</v>
      </c>
      <c r="R11" t="s">
        <v>131</v>
      </c>
    </row>
    <row r="12" spans="1:18" x14ac:dyDescent="0.4">
      <c r="A12" s="1" t="s">
        <v>4</v>
      </c>
      <c r="B12" s="1">
        <v>36</v>
      </c>
      <c r="C12" s="9" t="str">
        <f>HYPERLINK("https://rmda.kulib.kyoto-u.ac.jp/item/rb00002950?page=36")</f>
        <v>https://rmda.kulib.kyoto-u.ac.jp/item/rb00002950?page=36</v>
      </c>
      <c r="D12" s="1">
        <v>46</v>
      </c>
      <c r="E12" s="1" t="str">
        <f>HYPERLINK("https://kokusho.nijl.ac.jp/biblio/200010570/46")</f>
        <v>https://kokusho.nijl.ac.jp/biblio/200010570/46</v>
      </c>
      <c r="F12" s="1">
        <v>38</v>
      </c>
      <c r="G12" s="1" t="str">
        <f>HYPERLINK("https://www.digital.archives.go.jp/img/4432292/38")</f>
        <v>https://www.digital.archives.go.jp/img/4432292/38</v>
      </c>
      <c r="H12" s="7">
        <v>72</v>
      </c>
      <c r="I12" s="1" t="str">
        <f>HYPERLINK("https://rmda.kulib.kyoto-u.ac.jp/item/rb00002414?page=72")</f>
        <v>https://rmda.kulib.kyoto-u.ac.jp/item/rb00002414?page=72</v>
      </c>
      <c r="J12" s="1">
        <v>148</v>
      </c>
      <c r="K12" s="1" t="str">
        <f>HYPERLINK("https://rmda.kulib.kyoto-u.ac.jp/item/rb00004541?page=148")</f>
        <v>https://rmda.kulib.kyoto-u.ac.jp/item/rb00004541?page=148</v>
      </c>
      <c r="L12" s="1">
        <v>43</v>
      </c>
      <c r="M12" s="1" t="str">
        <f>HYPERLINK("https://rmda.kulib.kyoto-u.ac.jp/item/rb00000334?page=43")</f>
        <v>https://rmda.kulib.kyoto-u.ac.jp/item/rb00000334?page=43</v>
      </c>
      <c r="N12" s="1">
        <v>21</v>
      </c>
      <c r="O12" s="1" t="str">
        <f>HYPERLINK("https://rmda.kulib.kyoto-u.ac.jp/item/rb00000296?page=21")</f>
        <v>https://rmda.kulib.kyoto-u.ac.jp/item/rb00000296?page=21</v>
      </c>
      <c r="P12" s="1">
        <v>92</v>
      </c>
      <c r="Q12" s="1" t="str">
        <f>HYPERLINK("https://kokusho.nijl.ac.jp/biblio/100383698/92")</f>
        <v>https://kokusho.nijl.ac.jp/biblio/100383698/92</v>
      </c>
      <c r="R12" t="s">
        <v>131</v>
      </c>
    </row>
    <row r="13" spans="1:18" x14ac:dyDescent="0.4">
      <c r="A13" s="1" t="s">
        <v>5</v>
      </c>
      <c r="B13" s="1">
        <v>41</v>
      </c>
      <c r="C13" s="9" t="str">
        <f>HYPERLINK("https://rmda.kulib.kyoto-u.ac.jp/item/rb00002950?page=41")</f>
        <v>https://rmda.kulib.kyoto-u.ac.jp/item/rb00002950?page=41</v>
      </c>
      <c r="D13" s="1">
        <v>56</v>
      </c>
      <c r="E13" s="1" t="str">
        <f>HYPERLINK("https://kokusho.nijl.ac.jp/biblio/200010570/56")</f>
        <v>https://kokusho.nijl.ac.jp/biblio/200010570/56</v>
      </c>
      <c r="F13" s="1">
        <v>2</v>
      </c>
      <c r="G13" s="1" t="str">
        <f>HYPERLINK("https://www.digital.archives.go.jp/img/4416043/2")</f>
        <v>https://www.digital.archives.go.jp/img/4416043/2</v>
      </c>
      <c r="H13" s="7">
        <v>83</v>
      </c>
      <c r="I13" s="1" t="str">
        <f>HYPERLINK("https://rmda.kulib.kyoto-u.ac.jp/item/rb00002414?page=83")</f>
        <v>https://rmda.kulib.kyoto-u.ac.jp/item/rb00002414?page=83</v>
      </c>
      <c r="J13" s="1">
        <v>151</v>
      </c>
      <c r="K13" s="1" t="str">
        <f>HYPERLINK("https://rmda.kulib.kyoto-u.ac.jp/item/rb00004541?page=151")</f>
        <v>https://rmda.kulib.kyoto-u.ac.jp/item/rb00004541?page=151</v>
      </c>
      <c r="L13" s="1">
        <v>49</v>
      </c>
      <c r="M13" s="1" t="str">
        <f>HYPERLINK("https://rmda.kulib.kyoto-u.ac.jp/item/rb00000334?page=49")</f>
        <v>https://rmda.kulib.kyoto-u.ac.jp/item/rb00000334?page=49</v>
      </c>
      <c r="N13" s="1">
        <v>28</v>
      </c>
      <c r="O13" s="1" t="str">
        <f>HYPERLINK("https://rmda.kulib.kyoto-u.ac.jp/item/rb00000296?page=28")</f>
        <v>https://rmda.kulib.kyoto-u.ac.jp/item/rb00000296?page=28</v>
      </c>
      <c r="P13" s="1">
        <v>4</v>
      </c>
      <c r="Q13" s="1" t="str">
        <f>HYPERLINK("https://rmda.kulib.kyoto-u.ac.jp/item/rb00002410?page=4")</f>
        <v>https://rmda.kulib.kyoto-u.ac.jp/item/rb00002410?page=4</v>
      </c>
      <c r="R13" t="s">
        <v>131</v>
      </c>
    </row>
    <row r="14" spans="1:18" x14ac:dyDescent="0.4">
      <c r="A14" s="1" t="s">
        <v>6</v>
      </c>
      <c r="B14" s="1">
        <v>51</v>
      </c>
      <c r="C14" s="9" t="str">
        <f>HYPERLINK("https://rmda.kulib.kyoto-u.ac.jp/item/rb00002950?page=51")</f>
        <v>https://rmda.kulib.kyoto-u.ac.jp/item/rb00002950?page=51</v>
      </c>
      <c r="D14" s="1">
        <v>89</v>
      </c>
      <c r="E14" s="1" t="str">
        <f>HYPERLINK("https://kokusho.nijl.ac.jp/biblio/200010570/89")</f>
        <v>https://kokusho.nijl.ac.jp/biblio/200010570/89</v>
      </c>
      <c r="F14" s="1">
        <v>21</v>
      </c>
      <c r="G14" s="1" t="str">
        <f>HYPERLINK("https://www.digital.archives.go.jp/img/4416043/21")</f>
        <v>https://www.digital.archives.go.jp/img/4416043/21</v>
      </c>
      <c r="H14" s="7">
        <v>97</v>
      </c>
      <c r="I14" s="1" t="str">
        <f>HYPERLINK("https://rmda.kulib.kyoto-u.ac.jp/item/rb00002414?page=97")</f>
        <v>https://rmda.kulib.kyoto-u.ac.jp/item/rb00002414?page=97</v>
      </c>
      <c r="J14" s="1">
        <v>165</v>
      </c>
      <c r="K14" s="1" t="str">
        <f>HYPERLINK("https://rmda.kulib.kyoto-u.ac.jp/item/rb00004541?page=165")</f>
        <v>https://rmda.kulib.kyoto-u.ac.jp/item/rb00004541?page=165</v>
      </c>
      <c r="L14" s="1">
        <v>63</v>
      </c>
      <c r="M14" s="1" t="str">
        <f>HYPERLINK("https://rmda.kulib.kyoto-u.ac.jp/item/rb00000334?page=63")</f>
        <v>https://rmda.kulib.kyoto-u.ac.jp/item/rb00000334?page=63</v>
      </c>
      <c r="N14" s="1">
        <v>40</v>
      </c>
      <c r="O14" s="1" t="str">
        <f>HYPERLINK("https://rmda.kulib.kyoto-u.ac.jp/item/rb00000296?page=40")</f>
        <v>https://rmda.kulib.kyoto-u.ac.jp/item/rb00000296?page=40</v>
      </c>
      <c r="P14" s="1">
        <v>56</v>
      </c>
      <c r="Q14" s="1" t="str">
        <f>HYPERLINK("https://rmda.kulib.kyoto-u.ac.jp/item/rb00002410?page=56")</f>
        <v>https://rmda.kulib.kyoto-u.ac.jp/item/rb00002410?page=56</v>
      </c>
      <c r="R14" t="s">
        <v>131</v>
      </c>
    </row>
    <row r="15" spans="1:18" x14ac:dyDescent="0.4">
      <c r="A15" s="1" t="s">
        <v>7</v>
      </c>
      <c r="B15" s="1">
        <v>53</v>
      </c>
      <c r="C15" s="9" t="str">
        <f>HYPERLINK("https://rmda.kulib.kyoto-u.ac.jp/item/rb00002950?page=53")</f>
        <v>https://rmda.kulib.kyoto-u.ac.jp/item/rb00002950?page=53</v>
      </c>
      <c r="D15" s="1">
        <v>95</v>
      </c>
      <c r="E15" s="1" t="str">
        <f>HYPERLINK("https://kokusho.nijl.ac.jp/biblio/200010570/95")</f>
        <v>https://kokusho.nijl.ac.jp/biblio/200010570/95</v>
      </c>
      <c r="F15" s="1">
        <v>25</v>
      </c>
      <c r="G15" s="1" t="str">
        <f>HYPERLINK("https://www.digital.archives.go.jp/img/4416043/25")</f>
        <v>https://www.digital.archives.go.jp/img/4416043/25</v>
      </c>
      <c r="H15" s="7">
        <v>99</v>
      </c>
      <c r="I15" s="1" t="str">
        <f>HYPERLINK("https://rmda.kulib.kyoto-u.ac.jp/item/rb00002414?page=99")</f>
        <v>https://rmda.kulib.kyoto-u.ac.jp/item/rb00002414?page=99</v>
      </c>
      <c r="J15" s="1">
        <v>166</v>
      </c>
      <c r="K15" s="1" t="str">
        <f>HYPERLINK("https://rmda.kulib.kyoto-u.ac.jp/item/rb00004541?page=166")</f>
        <v>https://rmda.kulib.kyoto-u.ac.jp/item/rb00004541?page=166</v>
      </c>
      <c r="L15" s="1">
        <v>66</v>
      </c>
      <c r="M15" s="1" t="str">
        <f>HYPERLINK("https://rmda.kulib.kyoto-u.ac.jp/item/rb00000334?page=66")</f>
        <v>https://rmda.kulib.kyoto-u.ac.jp/item/rb00000334?page=66</v>
      </c>
      <c r="N15" s="1">
        <v>44</v>
      </c>
      <c r="O15" s="1" t="str">
        <f>HYPERLINK("https://rmda.kulib.kyoto-u.ac.jp/item/rb00000296?page=44")</f>
        <v>https://rmda.kulib.kyoto-u.ac.jp/item/rb00000296?page=44</v>
      </c>
      <c r="P15" s="1">
        <v>67</v>
      </c>
      <c r="Q15" s="1" t="str">
        <f>HYPERLINK("https://rmda.kulib.kyoto-u.ac.jp/item/rb00002410?page=67")</f>
        <v>https://rmda.kulib.kyoto-u.ac.jp/item/rb00002410?page=67</v>
      </c>
      <c r="R15" t="s">
        <v>131</v>
      </c>
    </row>
    <row r="16" spans="1:18" x14ac:dyDescent="0.4">
      <c r="A16" s="1" t="s">
        <v>8</v>
      </c>
      <c r="B16" s="1">
        <v>61</v>
      </c>
      <c r="C16" s="9" t="str">
        <f>HYPERLINK("https://rmda.kulib.kyoto-u.ac.jp/item/rb00002950?page=61")</f>
        <v>https://rmda.kulib.kyoto-u.ac.jp/item/rb00002950?page=61</v>
      </c>
      <c r="D16" s="1">
        <v>110</v>
      </c>
      <c r="E16" s="1" t="str">
        <f>HYPERLINK("https://kokusho.nijl.ac.jp/biblio/200010570/110")</f>
        <v>https://kokusho.nijl.ac.jp/biblio/200010570/110</v>
      </c>
      <c r="F16" s="1">
        <v>33</v>
      </c>
      <c r="G16" s="1" t="str">
        <f>HYPERLINK("https://www.digital.archives.go.jp/img/4416043/33")</f>
        <v>https://www.digital.archives.go.jp/img/4416043/33</v>
      </c>
      <c r="H16" s="7">
        <v>100</v>
      </c>
      <c r="I16" s="1" t="str">
        <f>HYPERLINK("https://rmda.kulib.kyoto-u.ac.jp/item/rb00002414?page=100")</f>
        <v>https://rmda.kulib.kyoto-u.ac.jp/item/rb00002414?page=100</v>
      </c>
      <c r="J16" s="1">
        <v>168</v>
      </c>
      <c r="K16" s="1" t="str">
        <f>HYPERLINK("https://rmda.kulib.kyoto-u.ac.jp/item/rb00004541?page=168")</f>
        <v>https://rmda.kulib.kyoto-u.ac.jp/item/rb00004541?page=168</v>
      </c>
      <c r="L16" s="1">
        <v>71</v>
      </c>
      <c r="M16" s="1" t="str">
        <f>HYPERLINK("https://rmda.kulib.kyoto-u.ac.jp/item/rb00000334?page=71")</f>
        <v>https://rmda.kulib.kyoto-u.ac.jp/item/rb00000334?page=71</v>
      </c>
      <c r="N16" s="1">
        <v>49</v>
      </c>
      <c r="O16" s="1" t="str">
        <f>HYPERLINK("https://rmda.kulib.kyoto-u.ac.jp/item/rb00000296?page=49")</f>
        <v>https://rmda.kulib.kyoto-u.ac.jp/item/rb00000296?page=49</v>
      </c>
      <c r="P16" s="1">
        <v>82</v>
      </c>
      <c r="Q16" s="1" t="str">
        <f>HYPERLINK("https://rmda.kulib.kyoto-u.ac.jp/item/rb00002410?page=82")</f>
        <v>https://rmda.kulib.kyoto-u.ac.jp/item/rb00002410?page=82</v>
      </c>
      <c r="R16" t="s">
        <v>131</v>
      </c>
    </row>
    <row r="17" spans="1:18" x14ac:dyDescent="0.4">
      <c r="A17" s="1" t="s">
        <v>9</v>
      </c>
      <c r="B17" s="1">
        <v>63</v>
      </c>
      <c r="C17" s="9" t="str">
        <f>HYPERLINK("https://rmda.kulib.kyoto-u.ac.jp/item/rb00002950?page=63")</f>
        <v>https://rmda.kulib.kyoto-u.ac.jp/item/rb00002950?page=63</v>
      </c>
      <c r="D17" s="1">
        <v>114</v>
      </c>
      <c r="E17" s="1" t="str">
        <f>HYPERLINK("https://kokusho.nijl.ac.jp/biblio/200010570/114")</f>
        <v>https://kokusho.nijl.ac.jp/biblio/200010570/114</v>
      </c>
      <c r="F17" s="1">
        <v>36</v>
      </c>
      <c r="G17" s="1" t="str">
        <f>HYPERLINK("https://www.digital.archives.go.jp/img/4416043/36")</f>
        <v>https://www.digital.archives.go.jp/img/4416043/36</v>
      </c>
      <c r="H17" s="7">
        <v>104</v>
      </c>
      <c r="I17" s="1" t="str">
        <f>HYPERLINK("https://rmda.kulib.kyoto-u.ac.jp/item/rb00002414?page=104")</f>
        <v>https://rmda.kulib.kyoto-u.ac.jp/item/rb00002414?page=104</v>
      </c>
      <c r="J17" s="1" t="s">
        <v>130</v>
      </c>
      <c r="K17" s="1"/>
      <c r="L17" s="1">
        <v>73</v>
      </c>
      <c r="M17" s="1" t="str">
        <f>HYPERLINK("https://rmda.kulib.kyoto-u.ac.jp/item/rb00000334?page=73")</f>
        <v>https://rmda.kulib.kyoto-u.ac.jp/item/rb00000334?page=73</v>
      </c>
      <c r="N17" s="1">
        <v>49</v>
      </c>
      <c r="O17" s="1" t="str">
        <f>HYPERLINK("https://rmda.kulib.kyoto-u.ac.jp/item/rb00000296?page=49")</f>
        <v>https://rmda.kulib.kyoto-u.ac.jp/item/rb00000296?page=49</v>
      </c>
      <c r="P17" s="1">
        <v>95</v>
      </c>
      <c r="Q17" s="1" t="str">
        <f>HYPERLINK("https://rmda.kulib.kyoto-u.ac.jp/item/rb00002410?page=95")</f>
        <v>https://rmda.kulib.kyoto-u.ac.jp/item/rb00002410?page=95</v>
      </c>
      <c r="R17" t="s">
        <v>131</v>
      </c>
    </row>
    <row r="18" spans="1:18" x14ac:dyDescent="0.4">
      <c r="A18" s="1" t="s">
        <v>10</v>
      </c>
      <c r="B18" s="1">
        <v>73</v>
      </c>
      <c r="C18" s="9" t="str">
        <f>HYPERLINK("https://rmda.kulib.kyoto-u.ac.jp/item/rb00002950?page=73")</f>
        <v>https://rmda.kulib.kyoto-u.ac.jp/item/rb00002950?page=73</v>
      </c>
      <c r="D18" s="1">
        <v>133</v>
      </c>
      <c r="E18" s="1" t="str">
        <f>HYPERLINK("https://kokusho.nijl.ac.jp/biblio/200010570/133")</f>
        <v>https://kokusho.nijl.ac.jp/biblio/200010570/133</v>
      </c>
      <c r="F18" s="1">
        <v>46</v>
      </c>
      <c r="G18" s="1" t="str">
        <f>HYPERLINK("https://www.digital.archives.go.jp/img/4416043/46")</f>
        <v>https://www.digital.archives.go.jp/img/4416043/46</v>
      </c>
      <c r="H18" s="7">
        <v>117</v>
      </c>
      <c r="I18" s="1" t="str">
        <f>HYPERLINK("https://rmda.kulib.kyoto-u.ac.jp/item/rb00002414?page=117")</f>
        <v>https://rmda.kulib.kyoto-u.ac.jp/item/rb00002414?page=117</v>
      </c>
      <c r="J18" s="1" t="s">
        <v>130</v>
      </c>
      <c r="K18" s="1"/>
      <c r="L18" s="1">
        <v>88</v>
      </c>
      <c r="M18" s="1" t="str">
        <f>HYPERLINK("https://rmda.kulib.kyoto-u.ac.jp/item/rb00000334?page=88")</f>
        <v>https://rmda.kulib.kyoto-u.ac.jp/item/rb00000334?page=88</v>
      </c>
      <c r="N18" s="1">
        <v>50</v>
      </c>
      <c r="O18" s="1" t="str">
        <f>HYPERLINK("https://rmda.kulib.kyoto-u.ac.jp/item/rb00000296?page=50")</f>
        <v>https://rmda.kulib.kyoto-u.ac.jp/item/rb00000296?page=50</v>
      </c>
      <c r="P18" s="1">
        <v>109</v>
      </c>
      <c r="Q18" s="1" t="str">
        <f>HYPERLINK("https://rmda.kulib.kyoto-u.ac.jp/item/rb00002410?page=109")</f>
        <v>https://rmda.kulib.kyoto-u.ac.jp/item/rb00002410?page=109</v>
      </c>
      <c r="R18" t="s">
        <v>131</v>
      </c>
    </row>
    <row r="19" spans="1:18" x14ac:dyDescent="0.4">
      <c r="A19" s="1" t="s">
        <v>11</v>
      </c>
      <c r="B19" s="1">
        <v>77</v>
      </c>
      <c r="C19" s="9" t="str">
        <f>HYPERLINK("https://rmda.kulib.kyoto-u.ac.jp/item/rb00002950?page=77")</f>
        <v>https://rmda.kulib.kyoto-u.ac.jp/item/rb00002950?page=77</v>
      </c>
      <c r="D19" s="1">
        <v>145</v>
      </c>
      <c r="E19" s="1" t="str">
        <f>HYPERLINK("https://kokusho.nijl.ac.jp/biblio/200010570/145")</f>
        <v>https://kokusho.nijl.ac.jp/biblio/200010570/145</v>
      </c>
      <c r="F19" s="1">
        <v>55</v>
      </c>
      <c r="G19" s="1" t="str">
        <f>HYPERLINK("https://www.digital.archives.go.jp/img/4416043/55")</f>
        <v>https://www.digital.archives.go.jp/img/4416043/55</v>
      </c>
      <c r="H19" s="7">
        <v>124</v>
      </c>
      <c r="I19" s="1" t="str">
        <f>HYPERLINK("https://rmda.kulib.kyoto-u.ac.jp/item/rb00002414?page=124")</f>
        <v>https://rmda.kulib.kyoto-u.ac.jp/item/rb00002414?page=124</v>
      </c>
      <c r="J19" s="1" t="s">
        <v>130</v>
      </c>
      <c r="K19" s="1"/>
      <c r="L19" s="1">
        <v>93</v>
      </c>
      <c r="M19" s="1" t="str">
        <f>HYPERLINK("https://rmda.kulib.kyoto-u.ac.jp/item/rb00000334?page=93")</f>
        <v>https://rmda.kulib.kyoto-u.ac.jp/item/rb00000334?page=93</v>
      </c>
      <c r="N19" s="1">
        <v>54</v>
      </c>
      <c r="O19" s="1" t="str">
        <f>HYPERLINK("https://rmda.kulib.kyoto-u.ac.jp/item/rb00000296?page=54")</f>
        <v>https://rmda.kulib.kyoto-u.ac.jp/item/rb00000296?page=54</v>
      </c>
      <c r="P19" s="1">
        <v>130</v>
      </c>
      <c r="Q19" s="1" t="str">
        <f>HYPERLINK("https://rmda.kulib.kyoto-u.ac.jp/item/rb00002410?page=130")</f>
        <v>https://rmda.kulib.kyoto-u.ac.jp/item/rb00002410?page=130</v>
      </c>
      <c r="R19" t="s">
        <v>131</v>
      </c>
    </row>
    <row r="20" spans="1:18" x14ac:dyDescent="0.4">
      <c r="A20" s="1" t="s">
        <v>12</v>
      </c>
      <c r="B20" s="1">
        <v>79</v>
      </c>
      <c r="C20" s="9" t="str">
        <f>HYPERLINK("https://rmda.kulib.kyoto-u.ac.jp/item/rb00002950?page=79")</f>
        <v>https://rmda.kulib.kyoto-u.ac.jp/item/rb00002950?page=79</v>
      </c>
      <c r="D20" s="1">
        <v>149</v>
      </c>
      <c r="E20" s="1" t="str">
        <f>HYPERLINK("https://kokusho.nijl.ac.jp/biblio/200010570/149")</f>
        <v>https://kokusho.nijl.ac.jp/biblio/200010570/149</v>
      </c>
      <c r="F20" s="1">
        <v>58</v>
      </c>
      <c r="G20" s="1" t="str">
        <f>HYPERLINK("https://www.digital.archives.go.jp/img/4416043/58")</f>
        <v>https://www.digital.archives.go.jp/img/4416043/58</v>
      </c>
      <c r="H20" s="7">
        <v>127</v>
      </c>
      <c r="I20" s="1" t="str">
        <f>HYPERLINK("https://rmda.kulib.kyoto-u.ac.jp/item/rb00002414?page=127")</f>
        <v>https://rmda.kulib.kyoto-u.ac.jp/item/rb00002414?page=127</v>
      </c>
      <c r="J20" s="1" t="s">
        <v>130</v>
      </c>
      <c r="K20" s="1"/>
      <c r="L20" s="1">
        <v>96</v>
      </c>
      <c r="M20" s="1" t="str">
        <f>HYPERLINK("https://rmda.kulib.kyoto-u.ac.jp/item/rb00000334?page=96")</f>
        <v>https://rmda.kulib.kyoto-u.ac.jp/item/rb00000334?page=96</v>
      </c>
      <c r="N20" s="1">
        <v>57</v>
      </c>
      <c r="O20" s="1" t="str">
        <f>HYPERLINK("https://rmda.kulib.kyoto-u.ac.jp/item/rb00000296?page=57")</f>
        <v>https://rmda.kulib.kyoto-u.ac.jp/item/rb00000296?page=57</v>
      </c>
      <c r="P20" s="1">
        <v>137</v>
      </c>
      <c r="Q20" s="1" t="str">
        <f>HYPERLINK("https://rmda.kulib.kyoto-u.ac.jp/item/rb00002410?page=137")</f>
        <v>https://rmda.kulib.kyoto-u.ac.jp/item/rb00002410?page=137</v>
      </c>
      <c r="R20" t="s">
        <v>131</v>
      </c>
    </row>
    <row r="21" spans="1:18" x14ac:dyDescent="0.4">
      <c r="A21" s="1" t="s">
        <v>13</v>
      </c>
      <c r="B21" s="1">
        <v>81</v>
      </c>
      <c r="C21" s="9" t="str">
        <f>HYPERLINK("https://rmda.kulib.kyoto-u.ac.jp/item/rb00002950?page=81")</f>
        <v>https://rmda.kulib.kyoto-u.ac.jp/item/rb00002950?page=81</v>
      </c>
      <c r="D21" s="1">
        <v>152</v>
      </c>
      <c r="E21" s="1" t="str">
        <f>HYPERLINK("https://kokusho.nijl.ac.jp/biblio/200010570/152")</f>
        <v>https://kokusho.nijl.ac.jp/biblio/200010570/152</v>
      </c>
      <c r="F21" s="1">
        <v>62</v>
      </c>
      <c r="G21" s="1" t="str">
        <f>HYPERLINK("https://www.digital.archives.go.jp/img/4416043/62")</f>
        <v>https://www.digital.archives.go.jp/img/4416043/62</v>
      </c>
      <c r="H21" s="7">
        <v>131</v>
      </c>
      <c r="I21" s="1" t="str">
        <f>HYPERLINK("https://rmda.kulib.kyoto-u.ac.jp/item/rb00002414?page=131")</f>
        <v>https://rmda.kulib.kyoto-u.ac.jp/item/rb00002414?page=131</v>
      </c>
      <c r="J21" s="1" t="s">
        <v>130</v>
      </c>
      <c r="K21" s="1"/>
      <c r="L21" s="1">
        <v>98</v>
      </c>
      <c r="M21" s="1" t="str">
        <f>HYPERLINK("https://rmda.kulib.kyoto-u.ac.jp/item/rb00000334?page=98")</f>
        <v>https://rmda.kulib.kyoto-u.ac.jp/item/rb00000334?page=98</v>
      </c>
      <c r="N21" s="1">
        <v>59</v>
      </c>
      <c r="O21" s="1" t="str">
        <f>HYPERLINK("https://rmda.kulib.kyoto-u.ac.jp/item/rb00000296?page=59")</f>
        <v>https://rmda.kulib.kyoto-u.ac.jp/item/rb00000296?page=59</v>
      </c>
      <c r="P21" s="1">
        <v>146</v>
      </c>
      <c r="Q21" s="1" t="str">
        <f>HYPERLINK("https://rmda.kulib.kyoto-u.ac.jp/item/rb00002410?page=146")</f>
        <v>https://rmda.kulib.kyoto-u.ac.jp/item/rb00002410?page=146</v>
      </c>
      <c r="R21" t="s">
        <v>131</v>
      </c>
    </row>
    <row r="22" spans="1:18" x14ac:dyDescent="0.4">
      <c r="A22" s="1" t="s">
        <v>14</v>
      </c>
      <c r="B22" s="1">
        <v>83</v>
      </c>
      <c r="C22" s="9" t="str">
        <f>HYPERLINK("https://rmda.kulib.kyoto-u.ac.jp/item/rb00002950?page=83")</f>
        <v>https://rmda.kulib.kyoto-u.ac.jp/item/rb00002950?page=83</v>
      </c>
      <c r="D22" s="1">
        <v>156</v>
      </c>
      <c r="E22" s="1" t="str">
        <f>HYPERLINK("https://kokusho.nijl.ac.jp/biblio/200010570/156")</f>
        <v>https://kokusho.nijl.ac.jp/biblio/200010570/156</v>
      </c>
      <c r="F22" s="1">
        <v>66</v>
      </c>
      <c r="G22" s="1" t="str">
        <f>HYPERLINK("https://www.digital.archives.go.jp/img/4416043/66")</f>
        <v>https://www.digital.archives.go.jp/img/4416043/66</v>
      </c>
      <c r="H22" s="7">
        <v>134</v>
      </c>
      <c r="I22" s="1" t="str">
        <f>HYPERLINK("https://rmda.kulib.kyoto-u.ac.jp/item/rb00002414?page=134")</f>
        <v>https://rmda.kulib.kyoto-u.ac.jp/item/rb00002414?page=134</v>
      </c>
      <c r="J22" s="1" t="s">
        <v>130</v>
      </c>
      <c r="K22" s="1"/>
      <c r="L22" s="1">
        <v>101</v>
      </c>
      <c r="M22" s="1" t="str">
        <f>HYPERLINK("https://rmda.kulib.kyoto-u.ac.jp/item/rb00000334?page=101")</f>
        <v>https://rmda.kulib.kyoto-u.ac.jp/item/rb00000334?page=101</v>
      </c>
      <c r="N22" s="1">
        <v>62</v>
      </c>
      <c r="O22" s="1" t="str">
        <f>HYPERLINK("https://rmda.kulib.kyoto-u.ac.jp/item/rb00000296?page=62")</f>
        <v>https://rmda.kulib.kyoto-u.ac.jp/item/rb00000296?page=62</v>
      </c>
      <c r="P22" s="1">
        <v>156</v>
      </c>
      <c r="Q22" s="1" t="str">
        <f>HYPERLINK("https://rmda.kulib.kyoto-u.ac.jp/item/rb00002410?page=156")</f>
        <v>https://rmda.kulib.kyoto-u.ac.jp/item/rb00002410?page=156</v>
      </c>
      <c r="R22" t="s">
        <v>131</v>
      </c>
    </row>
    <row r="23" spans="1:18" x14ac:dyDescent="0.4">
      <c r="A23" s="1" t="s">
        <v>15</v>
      </c>
      <c r="B23" s="1">
        <v>85</v>
      </c>
      <c r="C23" s="9" t="str">
        <f>HYPERLINK("https://rmda.kulib.kyoto-u.ac.jp/item/rb00002950?page=85")</f>
        <v>https://rmda.kulib.kyoto-u.ac.jp/item/rb00002950?page=85</v>
      </c>
      <c r="D23" s="1">
        <v>159</v>
      </c>
      <c r="E23" s="1" t="str">
        <f>HYPERLINK("https://kokusho.nijl.ac.jp/biblio/200010570/159")</f>
        <v>https://kokusho.nijl.ac.jp/biblio/200010570/159</v>
      </c>
      <c r="F23" s="1">
        <v>2</v>
      </c>
      <c r="G23" s="1" t="str">
        <f>HYPERLINK("https://www.digital.archives.go.jp/img/4416047/2")</f>
        <v>https://www.digital.archives.go.jp/img/4416047/2</v>
      </c>
      <c r="H23" s="7">
        <v>137</v>
      </c>
      <c r="I23" s="1" t="str">
        <f>HYPERLINK("https://rmda.kulib.kyoto-u.ac.jp/item/rb00002414?page=137")</f>
        <v>https://rmda.kulib.kyoto-u.ac.jp/item/rb00002414?page=137</v>
      </c>
      <c r="J23" s="1" t="s">
        <v>130</v>
      </c>
      <c r="K23" s="1"/>
      <c r="L23" s="1">
        <v>103</v>
      </c>
      <c r="M23" s="1" t="str">
        <f>HYPERLINK("https://rmda.kulib.kyoto-u.ac.jp/item/rb00000334?page=103")</f>
        <v>https://rmda.kulib.kyoto-u.ac.jp/item/rb00000334?page=103</v>
      </c>
      <c r="N23" s="1">
        <v>66</v>
      </c>
      <c r="O23" s="1" t="str">
        <f>HYPERLINK("https://rmda.kulib.kyoto-u.ac.jp/item/rb00000296?page=66")</f>
        <v>https://rmda.kulib.kyoto-u.ac.jp/item/rb00000296?page=66</v>
      </c>
      <c r="P23" s="1">
        <v>167</v>
      </c>
      <c r="Q23" s="1" t="str">
        <f>HYPERLINK("https://rmda.kulib.kyoto-u.ac.jp/item/rb00002410?page=167")</f>
        <v>https://rmda.kulib.kyoto-u.ac.jp/item/rb00002410?page=167</v>
      </c>
      <c r="R23" t="s">
        <v>131</v>
      </c>
    </row>
    <row r="24" spans="1:18" x14ac:dyDescent="0.4">
      <c r="A24" s="1" t="s">
        <v>16</v>
      </c>
      <c r="B24" s="1">
        <v>87</v>
      </c>
      <c r="C24" s="9" t="str">
        <f>HYPERLINK("https://rmda.kulib.kyoto-u.ac.jp/item/rb00002950?page=87")</f>
        <v>https://rmda.kulib.kyoto-u.ac.jp/item/rb00002950?page=87</v>
      </c>
      <c r="D24" s="1">
        <v>163</v>
      </c>
      <c r="E24" s="1" t="str">
        <f>HYPERLINK("https://kokusho.nijl.ac.jp/biblio/200010570/163")</f>
        <v>https://kokusho.nijl.ac.jp/biblio/200010570/163</v>
      </c>
      <c r="F24" s="1">
        <v>6</v>
      </c>
      <c r="G24" s="1" t="str">
        <f>HYPERLINK("https://www.digital.archives.go.jp/img/4416047/6")</f>
        <v>https://www.digital.archives.go.jp/img/4416047/6</v>
      </c>
      <c r="H24" s="7">
        <v>139</v>
      </c>
      <c r="I24" s="1" t="str">
        <f>HYPERLINK("https://rmda.kulib.kyoto-u.ac.jp/item/rb00002414?page=139")</f>
        <v>https://rmda.kulib.kyoto-u.ac.jp/item/rb00002414?page=139</v>
      </c>
      <c r="J24" s="1" t="s">
        <v>130</v>
      </c>
      <c r="K24" s="1"/>
      <c r="L24" s="1">
        <v>105</v>
      </c>
      <c r="M24" s="1" t="str">
        <f>HYPERLINK("https://rmda.kulib.kyoto-u.ac.jp/item/rb00000334?page=105")</f>
        <v>https://rmda.kulib.kyoto-u.ac.jp/item/rb00000334?page=105</v>
      </c>
      <c r="N24" s="1">
        <v>69</v>
      </c>
      <c r="O24" s="1" t="str">
        <f>HYPERLINK("https://rmda.kulib.kyoto-u.ac.jp/item/rb00000296?page=69")</f>
        <v>https://rmda.kulib.kyoto-u.ac.jp/item/rb00000296?page=69</v>
      </c>
      <c r="P24" s="1">
        <v>175</v>
      </c>
      <c r="Q24" s="1" t="str">
        <f>HYPERLINK("https://rmda.kulib.kyoto-u.ac.jp/item/rb00002410?page=175")</f>
        <v>https://rmda.kulib.kyoto-u.ac.jp/item/rb00002410?page=175</v>
      </c>
      <c r="R24" t="s">
        <v>131</v>
      </c>
    </row>
    <row r="25" spans="1:18" x14ac:dyDescent="0.4">
      <c r="A25" s="1" t="s">
        <v>17</v>
      </c>
      <c r="B25" s="1">
        <v>91</v>
      </c>
      <c r="C25" s="9" t="str">
        <f>HYPERLINK("https://rmda.kulib.kyoto-u.ac.jp/item/rb00002950?page=91")</f>
        <v>https://rmda.kulib.kyoto-u.ac.jp/item/rb00002950?page=91</v>
      </c>
      <c r="D25" s="1">
        <v>172</v>
      </c>
      <c r="E25" s="1" t="str">
        <f>HYPERLINK("https://kokusho.nijl.ac.jp/biblio/200010570/172")</f>
        <v>https://kokusho.nijl.ac.jp/biblio/200010570/172</v>
      </c>
      <c r="F25" s="1">
        <v>12</v>
      </c>
      <c r="G25" s="1" t="str">
        <f>HYPERLINK("https://www.digital.archives.go.jp/img/4416047/12")</f>
        <v>https://www.digital.archives.go.jp/img/4416047/12</v>
      </c>
      <c r="H25" s="7">
        <v>142</v>
      </c>
      <c r="I25" s="1" t="str">
        <f>HYPERLINK("https://rmda.kulib.kyoto-u.ac.jp/item/rb00002414?page=142")</f>
        <v>https://rmda.kulib.kyoto-u.ac.jp/item/rb00002414?page=142</v>
      </c>
      <c r="J25" s="1" t="s">
        <v>130</v>
      </c>
      <c r="K25" s="1"/>
      <c r="L25" s="1">
        <v>109</v>
      </c>
      <c r="M25" s="1" t="str">
        <f>HYPERLINK("https://rmda.kulib.kyoto-u.ac.jp/item/rb00000334?page=109")</f>
        <v>https://rmda.kulib.kyoto-u.ac.jp/item/rb00000334?page=109</v>
      </c>
      <c r="N25" s="1">
        <v>70</v>
      </c>
      <c r="O25" s="1" t="str">
        <f>HYPERLINK("https://rmda.kulib.kyoto-u.ac.jp/item/rb00000296?page=70")</f>
        <v>https://rmda.kulib.kyoto-u.ac.jp/item/rb00000296?page=70</v>
      </c>
      <c r="P25" s="1">
        <v>193</v>
      </c>
      <c r="Q25" s="1" t="str">
        <f>HYPERLINK("https://rmda.kulib.kyoto-u.ac.jp/item/rb00002410?page=193")</f>
        <v>https://rmda.kulib.kyoto-u.ac.jp/item/rb00002410?page=193</v>
      </c>
      <c r="R25" t="s">
        <v>131</v>
      </c>
    </row>
    <row r="26" spans="1:18" x14ac:dyDescent="0.4">
      <c r="A26" s="1" t="s">
        <v>18</v>
      </c>
      <c r="B26" s="1">
        <v>98</v>
      </c>
      <c r="C26" s="9" t="str">
        <f>HYPERLINK("https://rmda.kulib.kyoto-u.ac.jp/item/rb00002950?page=98")</f>
        <v>https://rmda.kulib.kyoto-u.ac.jp/item/rb00002950?page=98</v>
      </c>
      <c r="D26" s="1">
        <v>192</v>
      </c>
      <c r="E26" s="1" t="str">
        <f>HYPERLINK("https://kokusho.nijl.ac.jp/biblio/200010570/192")</f>
        <v>https://kokusho.nijl.ac.jp/biblio/200010570/192</v>
      </c>
      <c r="F26" s="1">
        <v>27</v>
      </c>
      <c r="G26" s="1" t="str">
        <f>HYPERLINK("https://www.digital.archives.go.jp/img/4416047/27")</f>
        <v>https://www.digital.archives.go.jp/img/4416047/27</v>
      </c>
      <c r="H26" s="7">
        <v>150</v>
      </c>
      <c r="I26" s="1" t="str">
        <f>HYPERLINK("https://rmda.kulib.kyoto-u.ac.jp/item/rb00002414?page=150")</f>
        <v>https://rmda.kulib.kyoto-u.ac.jp/item/rb00002414?page=150</v>
      </c>
      <c r="J26" s="1" t="s">
        <v>130</v>
      </c>
      <c r="K26" s="1"/>
      <c r="L26" s="1">
        <v>119</v>
      </c>
      <c r="M26" s="1" t="str">
        <f>HYPERLINK("https://rmda.kulib.kyoto-u.ac.jp/item/rb00000334?page=119")</f>
        <v>https://rmda.kulib.kyoto-u.ac.jp/item/rb00000334?page=119</v>
      </c>
      <c r="N26" s="1">
        <v>82</v>
      </c>
      <c r="O26" s="1" t="str">
        <f>HYPERLINK("https://rmda.kulib.kyoto-u.ac.jp/item/rb00000296?page=82")</f>
        <v>https://rmda.kulib.kyoto-u.ac.jp/item/rb00000296?page=82</v>
      </c>
      <c r="P26" s="1">
        <v>228</v>
      </c>
      <c r="Q26" s="1" t="str">
        <f>HYPERLINK("https://rmda.kulib.kyoto-u.ac.jp/item/rb00002410?page=228")</f>
        <v>https://rmda.kulib.kyoto-u.ac.jp/item/rb00002410?page=228</v>
      </c>
      <c r="R26" t="s">
        <v>131</v>
      </c>
    </row>
    <row r="27" spans="1:18" x14ac:dyDescent="0.4">
      <c r="A27" s="1" t="s">
        <v>19</v>
      </c>
      <c r="B27" s="1">
        <v>107</v>
      </c>
      <c r="C27" s="9" t="str">
        <f>HYPERLINK("https://rmda.kulib.kyoto-u.ac.jp/item/rb00002950?page=107")</f>
        <v>https://rmda.kulib.kyoto-u.ac.jp/item/rb00002950?page=107</v>
      </c>
      <c r="D27" s="1">
        <v>213</v>
      </c>
      <c r="E27" s="1" t="str">
        <f>HYPERLINK("https://kokusho.nijl.ac.jp/biblio/200010570/213")</f>
        <v>https://kokusho.nijl.ac.jp/biblio/200010570/213</v>
      </c>
      <c r="F27" s="1">
        <v>37</v>
      </c>
      <c r="G27" s="1" t="str">
        <f>HYPERLINK("https://www.digital.archives.go.jp/img/4416047/37")</f>
        <v>https://www.digital.archives.go.jp/img/4416047/37</v>
      </c>
      <c r="H27" s="7">
        <v>162</v>
      </c>
      <c r="I27" s="1" t="str">
        <f>HYPERLINK("https://rmda.kulib.kyoto-u.ac.jp/item/rb00002414?page=162")</f>
        <v>https://rmda.kulib.kyoto-u.ac.jp/item/rb00002414?page=162</v>
      </c>
      <c r="J27" s="1" t="s">
        <v>130</v>
      </c>
      <c r="K27" s="1"/>
      <c r="L27" s="1">
        <v>129</v>
      </c>
      <c r="M27" s="1" t="str">
        <f>HYPERLINK("https://rmda.kulib.kyoto-u.ac.jp/item/rb00000334?page=129")</f>
        <v>https://rmda.kulib.kyoto-u.ac.jp/item/rb00000334?page=129</v>
      </c>
      <c r="N27" s="1">
        <v>94</v>
      </c>
      <c r="O27" s="1" t="str">
        <f>HYPERLINK("https://rmda.kulib.kyoto-u.ac.jp/item/rb00000296?page=94")</f>
        <v>https://rmda.kulib.kyoto-u.ac.jp/item/rb00000296?page=94</v>
      </c>
      <c r="P27" s="1">
        <v>255</v>
      </c>
      <c r="Q27" s="1" t="str">
        <f>HYPERLINK("https://rmda.kulib.kyoto-u.ac.jp/item/rb00002410?page=255")</f>
        <v>https://rmda.kulib.kyoto-u.ac.jp/item/rb00002410?page=255</v>
      </c>
      <c r="R27" t="s">
        <v>131</v>
      </c>
    </row>
    <row r="28" spans="1:18" x14ac:dyDescent="0.4">
      <c r="A28" s="1" t="s">
        <v>20</v>
      </c>
      <c r="B28" s="1">
        <v>115</v>
      </c>
      <c r="C28" s="9" t="str">
        <f>HYPERLINK("https://rmda.kulib.kyoto-u.ac.jp/item/rb00002950?page=115")</f>
        <v>https://rmda.kulib.kyoto-u.ac.jp/item/rb00002950?page=115</v>
      </c>
      <c r="D28" s="1">
        <v>231</v>
      </c>
      <c r="E28" s="1" t="str">
        <f>HYPERLINK("https://kokusho.nijl.ac.jp/biblio/200010570/231")</f>
        <v>https://kokusho.nijl.ac.jp/biblio/200010570/231</v>
      </c>
      <c r="F28" s="1">
        <v>2</v>
      </c>
      <c r="G28" s="1" t="str">
        <f>HYPERLINK("https://www.digital.archives.go.jp/img/4416050/2")</f>
        <v>https://www.digital.archives.go.jp/img/4416050/2</v>
      </c>
      <c r="H28" s="7">
        <v>172</v>
      </c>
      <c r="I28" s="1" t="str">
        <f>HYPERLINK("https://rmda.kulib.kyoto-u.ac.jp/item/rb00002414?page=172")</f>
        <v>https://rmda.kulib.kyoto-u.ac.jp/item/rb00002414?page=172</v>
      </c>
      <c r="J28" s="1" t="s">
        <v>130</v>
      </c>
      <c r="K28" s="1"/>
      <c r="L28" s="1">
        <v>140</v>
      </c>
      <c r="M28" s="1" t="str">
        <f>HYPERLINK("https://rmda.kulib.kyoto-u.ac.jp/item/rb00000334?page=140")</f>
        <v>https://rmda.kulib.kyoto-u.ac.jp/item/rb00000334?page=140</v>
      </c>
      <c r="N28" s="1">
        <v>103</v>
      </c>
      <c r="O28" s="1" t="str">
        <f>HYPERLINK("https://rmda.kulib.kyoto-u.ac.jp/item/rb00000296?page=103")</f>
        <v>https://rmda.kulib.kyoto-u.ac.jp/item/rb00000296?page=103</v>
      </c>
      <c r="P28" s="1">
        <v>286</v>
      </c>
      <c r="Q28" s="1" t="str">
        <f>HYPERLINK("https://rmda.kulib.kyoto-u.ac.jp/item/rb00002410?page=286")</f>
        <v>https://rmda.kulib.kyoto-u.ac.jp/item/rb00002410?page=286</v>
      </c>
      <c r="R28" t="s">
        <v>131</v>
      </c>
    </row>
    <row r="29" spans="1:18" x14ac:dyDescent="0.4">
      <c r="A29" s="1" t="s">
        <v>21</v>
      </c>
      <c r="B29" s="1">
        <v>121</v>
      </c>
      <c r="C29" s="9" t="str">
        <f>HYPERLINK("https://rmda.kulib.kyoto-u.ac.jp/item/rb00002950?page=121")</f>
        <v>https://rmda.kulib.kyoto-u.ac.jp/item/rb00002950?page=121</v>
      </c>
      <c r="D29" s="1">
        <v>241</v>
      </c>
      <c r="E29" s="1" t="str">
        <f>HYPERLINK("https://kokusho.nijl.ac.jp/biblio/200010570/241")</f>
        <v>https://kokusho.nijl.ac.jp/biblio/200010570/241</v>
      </c>
      <c r="F29" s="1">
        <v>13</v>
      </c>
      <c r="G29" s="1" t="str">
        <f>HYPERLINK("https://www.digital.archives.go.jp/img/4416050/13")</f>
        <v>https://www.digital.archives.go.jp/img/4416050/13</v>
      </c>
      <c r="H29" s="7">
        <v>179</v>
      </c>
      <c r="I29" s="1" t="str">
        <f>HYPERLINK("https://rmda.kulib.kyoto-u.ac.jp/item/rb00002414?page=179")</f>
        <v>https://rmda.kulib.kyoto-u.ac.jp/item/rb00002414?page=179</v>
      </c>
      <c r="J29" s="1" t="s">
        <v>130</v>
      </c>
      <c r="K29" s="1"/>
      <c r="L29" s="1">
        <v>146</v>
      </c>
      <c r="M29" s="1" t="str">
        <f>HYPERLINK("https://rmda.kulib.kyoto-u.ac.jp/item/rb00000334?page=146")</f>
        <v>https://rmda.kulib.kyoto-u.ac.jp/item/rb00000334?page=146</v>
      </c>
      <c r="N29" s="1">
        <v>110</v>
      </c>
      <c r="O29" s="1" t="str">
        <f>HYPERLINK("https://rmda.kulib.kyoto-u.ac.jp/item/rb00000296?page=110")</f>
        <v>https://rmda.kulib.kyoto-u.ac.jp/item/rb00000296?page=110</v>
      </c>
      <c r="P29" s="1">
        <v>305</v>
      </c>
      <c r="Q29" s="1" t="str">
        <f>HYPERLINK("https://rmda.kulib.kyoto-u.ac.jp/item/rb00002410?page=305")</f>
        <v>https://rmda.kulib.kyoto-u.ac.jp/item/rb00002410?page=305</v>
      </c>
      <c r="R29" t="s">
        <v>131</v>
      </c>
    </row>
    <row r="30" spans="1:18" x14ac:dyDescent="0.4">
      <c r="A30" s="1" t="s">
        <v>22</v>
      </c>
      <c r="B30" s="1">
        <v>124</v>
      </c>
      <c r="C30" s="9" t="str">
        <f>HYPERLINK("https://rmda.kulib.kyoto-u.ac.jp/item/rb00002950?page=124")</f>
        <v>https://rmda.kulib.kyoto-u.ac.jp/item/rb00002950?page=124</v>
      </c>
      <c r="D30" s="1">
        <v>247</v>
      </c>
      <c r="E30" s="1" t="str">
        <f>HYPERLINK("https://kokusho.nijl.ac.jp/biblio/200010570/247")</f>
        <v>https://kokusho.nijl.ac.jp/biblio/200010570/247</v>
      </c>
      <c r="F30" s="1">
        <v>19</v>
      </c>
      <c r="G30" s="1" t="str">
        <f>HYPERLINK("https://www.digital.archives.go.jp/img/4416050/19")</f>
        <v>https://www.digital.archives.go.jp/img/4416050/19</v>
      </c>
      <c r="H30" s="7">
        <v>181</v>
      </c>
      <c r="I30" s="1" t="str">
        <f>HYPERLINK("https://rmda.kulib.kyoto-u.ac.jp/item/rb00002414?page=181")</f>
        <v>https://rmda.kulib.kyoto-u.ac.jp/item/rb00002414?page=181</v>
      </c>
      <c r="J30" s="1" t="s">
        <v>130</v>
      </c>
      <c r="K30" s="1"/>
      <c r="L30" s="1">
        <v>150</v>
      </c>
      <c r="M30" s="1" t="str">
        <f>HYPERLINK("https://rmda.kulib.kyoto-u.ac.jp/item/rb00000334?page=150")</f>
        <v>https://rmda.kulib.kyoto-u.ac.jp/item/rb00000334?page=150</v>
      </c>
      <c r="N30" s="1">
        <v>111</v>
      </c>
      <c r="O30" s="1" t="str">
        <f>HYPERLINK("https://rmda.kulib.kyoto-u.ac.jp/item/rb00000296?page=111")</f>
        <v>https://rmda.kulib.kyoto-u.ac.jp/item/rb00000296?page=111</v>
      </c>
      <c r="P30" s="1">
        <v>316</v>
      </c>
      <c r="Q30" s="1" t="str">
        <f>HYPERLINK("https://rmda.kulib.kyoto-u.ac.jp/item/rb00002410?page=316")</f>
        <v>https://rmda.kulib.kyoto-u.ac.jp/item/rb00002410?page=316</v>
      </c>
      <c r="R30" t="s">
        <v>131</v>
      </c>
    </row>
    <row r="31" spans="1:18" x14ac:dyDescent="0.4">
      <c r="A31" s="1" t="s">
        <v>23</v>
      </c>
      <c r="B31" s="1">
        <v>129</v>
      </c>
      <c r="C31" s="9" t="str">
        <f>HYPERLINK("https://rmda.kulib.kyoto-u.ac.jp/item/rb00002950?page=129")</f>
        <v>https://rmda.kulib.kyoto-u.ac.jp/item/rb00002950?page=129</v>
      </c>
      <c r="D31" s="1">
        <v>262</v>
      </c>
      <c r="E31" s="1" t="str">
        <f>HYPERLINK("https://kokusho.nijl.ac.jp/biblio/200010570/262")</f>
        <v>https://kokusho.nijl.ac.jp/biblio/200010570/262</v>
      </c>
      <c r="F31" s="1">
        <v>27</v>
      </c>
      <c r="G31" s="1" t="str">
        <f>HYPERLINK("https://www.digital.archives.go.jp/img/4416050/27")</f>
        <v>https://www.digital.archives.go.jp/img/4416050/27</v>
      </c>
      <c r="H31" s="7">
        <v>189</v>
      </c>
      <c r="I31" s="1" t="str">
        <f>HYPERLINK("https://rmda.kulib.kyoto-u.ac.jp/item/rb00002414?page=189")</f>
        <v>https://rmda.kulib.kyoto-u.ac.jp/item/rb00002414?page=189</v>
      </c>
      <c r="J31" s="1" t="s">
        <v>130</v>
      </c>
      <c r="K31" s="1"/>
      <c r="L31" s="1">
        <v>156</v>
      </c>
      <c r="M31" s="1" t="str">
        <f>HYPERLINK("https://rmda.kulib.kyoto-u.ac.jp/item/rb00000334?page=156")</f>
        <v>https://rmda.kulib.kyoto-u.ac.jp/item/rb00000334?page=156</v>
      </c>
      <c r="N31" s="1">
        <v>113</v>
      </c>
      <c r="O31" s="1" t="str">
        <f>HYPERLINK("https://rmda.kulib.kyoto-u.ac.jp/item/rb00000296?page=113")</f>
        <v>https://rmda.kulib.kyoto-u.ac.jp/item/rb00000296?page=113</v>
      </c>
      <c r="P31" s="1">
        <v>339</v>
      </c>
      <c r="Q31" s="1" t="str">
        <f>HYPERLINK("https://rmda.kulib.kyoto-u.ac.jp/item/rb00002410?page=339")</f>
        <v>https://rmda.kulib.kyoto-u.ac.jp/item/rb00002410?page=339</v>
      </c>
      <c r="R31" t="s">
        <v>131</v>
      </c>
    </row>
    <row r="32" spans="1:18" x14ac:dyDescent="0.4">
      <c r="A32" s="1" t="s">
        <v>24</v>
      </c>
      <c r="B32" s="1">
        <v>131</v>
      </c>
      <c r="C32" s="9" t="str">
        <f>HYPERLINK("https://rmda.kulib.kyoto-u.ac.jp/item/rb00002950?page=131")</f>
        <v>https://rmda.kulib.kyoto-u.ac.jp/item/rb00002950?page=131</v>
      </c>
      <c r="D32" s="1">
        <v>270</v>
      </c>
      <c r="E32" s="1" t="str">
        <f>HYPERLINK("https://kokusho.nijl.ac.jp/biblio/200010570/270")</f>
        <v>https://kokusho.nijl.ac.jp/biblio/200010570/270</v>
      </c>
      <c r="F32" s="1">
        <v>32</v>
      </c>
      <c r="G32" s="1" t="str">
        <f>HYPERLINK("https://www.digital.archives.go.jp/img/4416050/32")</f>
        <v>https://www.digital.archives.go.jp/img/4416050/32</v>
      </c>
      <c r="H32" s="7">
        <v>194</v>
      </c>
      <c r="I32" s="1" t="str">
        <f>HYPERLINK("https://rmda.kulib.kyoto-u.ac.jp/item/rb00002414?page=194")</f>
        <v>https://rmda.kulib.kyoto-u.ac.jp/item/rb00002414?page=194</v>
      </c>
      <c r="J32" s="1" t="s">
        <v>130</v>
      </c>
      <c r="K32" s="1"/>
      <c r="L32" s="1">
        <v>159</v>
      </c>
      <c r="M32" s="1" t="str">
        <f>HYPERLINK("https://rmda.kulib.kyoto-u.ac.jp/item/rb00000334?page=159")</f>
        <v>https://rmda.kulib.kyoto-u.ac.jp/item/rb00000334?page=159</v>
      </c>
      <c r="N32" s="1">
        <v>114</v>
      </c>
      <c r="O32" s="1" t="str">
        <f>HYPERLINK("https://rmda.kulib.kyoto-u.ac.jp/item/rb00000296?page=114")</f>
        <v>https://rmda.kulib.kyoto-u.ac.jp/item/rb00000296?page=114</v>
      </c>
      <c r="P32" s="1">
        <v>355</v>
      </c>
      <c r="Q32" s="1" t="str">
        <f>HYPERLINK("https://rmda.kulib.kyoto-u.ac.jp/item/rb00002410?page=355")</f>
        <v>https://rmda.kulib.kyoto-u.ac.jp/item/rb00002410?page=355</v>
      </c>
      <c r="R32" t="s">
        <v>131</v>
      </c>
    </row>
    <row r="33" spans="1:18" x14ac:dyDescent="0.4">
      <c r="A33" s="1" t="s">
        <v>25</v>
      </c>
      <c r="B33" s="1">
        <v>134</v>
      </c>
      <c r="C33" s="9" t="str">
        <f>HYPERLINK("https://rmda.kulib.kyoto-u.ac.jp/item/rb00002950?page=134")</f>
        <v>https://rmda.kulib.kyoto-u.ac.jp/item/rb00002950?page=134</v>
      </c>
      <c r="D33" s="1">
        <v>275</v>
      </c>
      <c r="E33" s="1" t="str">
        <f>HYPERLINK("https://kokusho.nijl.ac.jp/biblio/200010570/275")</f>
        <v>https://kokusho.nijl.ac.jp/biblio/200010570/275</v>
      </c>
      <c r="F33" s="1">
        <v>35</v>
      </c>
      <c r="G33" s="1" t="str">
        <f>HYPERLINK("https://www.digital.archives.go.jp/img/4416050/35")</f>
        <v>https://www.digital.archives.go.jp/img/4416050/35</v>
      </c>
      <c r="H33" s="7">
        <v>198</v>
      </c>
      <c r="I33" s="1" t="str">
        <f>HYPERLINK("https://rmda.kulib.kyoto-u.ac.jp/item/rb00002414?page=198")</f>
        <v>https://rmda.kulib.kyoto-u.ac.jp/item/rb00002414?page=198</v>
      </c>
      <c r="J33" s="1" t="s">
        <v>130</v>
      </c>
      <c r="K33" s="1"/>
      <c r="L33" s="1">
        <v>162</v>
      </c>
      <c r="M33" s="1" t="str">
        <f>HYPERLINK("https://rmda.kulib.kyoto-u.ac.jp/item/rb00000334?page=162")</f>
        <v>https://rmda.kulib.kyoto-u.ac.jp/item/rb00000334?page=162</v>
      </c>
      <c r="N33" s="1">
        <v>117</v>
      </c>
      <c r="O33" s="1" t="str">
        <f>HYPERLINK("https://rmda.kulib.kyoto-u.ac.jp/item/rb00000296?page=117")</f>
        <v>https://rmda.kulib.kyoto-u.ac.jp/item/rb00000296?page=117</v>
      </c>
      <c r="P33" s="1">
        <v>367</v>
      </c>
      <c r="Q33" s="1" t="str">
        <f>HYPERLINK("https://rmda.kulib.kyoto-u.ac.jp/item/rb00002410?page=367")</f>
        <v>https://rmda.kulib.kyoto-u.ac.jp/item/rb00002410?page=367</v>
      </c>
      <c r="R33" t="s">
        <v>131</v>
      </c>
    </row>
    <row r="34" spans="1:18" x14ac:dyDescent="0.4">
      <c r="A34" s="1" t="s">
        <v>26</v>
      </c>
      <c r="B34" s="1">
        <v>138</v>
      </c>
      <c r="C34" s="9" t="str">
        <f>HYPERLINK("https://rmda.kulib.kyoto-u.ac.jp/item/rb00002950?page=138")</f>
        <v>https://rmda.kulib.kyoto-u.ac.jp/item/rb00002950?page=138</v>
      </c>
      <c r="D34" s="1">
        <v>282</v>
      </c>
      <c r="E34" s="1" t="str">
        <f>HYPERLINK("https://kokusho.nijl.ac.jp/biblio/200010570/282")</f>
        <v>https://kokusho.nijl.ac.jp/biblio/200010570/282</v>
      </c>
      <c r="F34" s="1">
        <v>40</v>
      </c>
      <c r="G34" s="1" t="str">
        <f>HYPERLINK("https://www.digital.archives.go.jp/img/4416050/40")</f>
        <v>https://www.digital.archives.go.jp/img/4416050/40</v>
      </c>
      <c r="H34" s="7">
        <v>202</v>
      </c>
      <c r="I34" s="1" t="str">
        <f>HYPERLINK("https://rmda.kulib.kyoto-u.ac.jp/item/rb00002414?page=202")</f>
        <v>https://rmda.kulib.kyoto-u.ac.jp/item/rb00002414?page=202</v>
      </c>
      <c r="J34" s="1" t="s">
        <v>130</v>
      </c>
      <c r="K34" s="1"/>
      <c r="L34" s="1">
        <v>166</v>
      </c>
      <c r="M34" s="1" t="str">
        <f>HYPERLINK("https://rmda.kulib.kyoto-u.ac.jp/item/rb00000334?page=166")</f>
        <v>https://rmda.kulib.kyoto-u.ac.jp/item/rb00000334?page=166</v>
      </c>
      <c r="N34" s="1">
        <v>123</v>
      </c>
      <c r="O34" s="1" t="str">
        <f>HYPERLINK("https://rmda.kulib.kyoto-u.ac.jp/item/rb00000296?page=123")</f>
        <v>https://rmda.kulib.kyoto-u.ac.jp/item/rb00000296?page=123</v>
      </c>
      <c r="P34" s="1">
        <v>380</v>
      </c>
      <c r="Q34" s="1" t="str">
        <f>HYPERLINK("https://rmda.kulib.kyoto-u.ac.jp/item/rb00002410?page=380")</f>
        <v>https://rmda.kulib.kyoto-u.ac.jp/item/rb00002410?page=380</v>
      </c>
      <c r="R34" t="s">
        <v>131</v>
      </c>
    </row>
    <row r="35" spans="1:18" x14ac:dyDescent="0.4">
      <c r="A35" s="1" t="s">
        <v>27</v>
      </c>
      <c r="B35" s="1">
        <v>142</v>
      </c>
      <c r="C35" s="9" t="str">
        <f>HYPERLINK("https://rmda.kulib.kyoto-u.ac.jp/item/rb00002950?page=142")</f>
        <v>https://rmda.kulib.kyoto-u.ac.jp/item/rb00002950?page=142</v>
      </c>
      <c r="D35" s="1">
        <v>289</v>
      </c>
      <c r="E35" s="1" t="str">
        <f>HYPERLINK("https://kokusho.nijl.ac.jp/biblio/200010570/289")</f>
        <v>https://kokusho.nijl.ac.jp/biblio/200010570/289</v>
      </c>
      <c r="F35" s="1">
        <v>47</v>
      </c>
      <c r="G35" s="1" t="str">
        <f>HYPERLINK("https://www.digital.archives.go.jp/img/4416050/47")</f>
        <v>https://www.digital.archives.go.jp/img/4416050/47</v>
      </c>
      <c r="H35" s="7">
        <v>205</v>
      </c>
      <c r="I35" s="1" t="str">
        <f>HYPERLINK("https://rmda.kulib.kyoto-u.ac.jp/item/rb00002414?page=205")</f>
        <v>https://rmda.kulib.kyoto-u.ac.jp/item/rb00002414?page=205</v>
      </c>
      <c r="J35" s="1" t="s">
        <v>130</v>
      </c>
      <c r="K35" s="1"/>
      <c r="L35" s="1">
        <v>171</v>
      </c>
      <c r="M35" s="1" t="str">
        <f>HYPERLINK("https://rmda.kulib.kyoto-u.ac.jp/item/rb00000334?page=171")</f>
        <v>https://rmda.kulib.kyoto-u.ac.jp/item/rb00000334?page=171</v>
      </c>
      <c r="N35" s="1">
        <v>128</v>
      </c>
      <c r="O35" s="1" t="str">
        <f>HYPERLINK("https://rmda.kulib.kyoto-u.ac.jp/item/rb00000296?page=128")</f>
        <v>https://rmda.kulib.kyoto-u.ac.jp/item/rb00000296?page=128</v>
      </c>
      <c r="P35" s="1">
        <v>391</v>
      </c>
      <c r="Q35" s="1" t="str">
        <f>HYPERLINK("https://rmda.kulib.kyoto-u.ac.jp/item/rb00002410?page=391")</f>
        <v>https://rmda.kulib.kyoto-u.ac.jp/item/rb00002410?page=391</v>
      </c>
      <c r="R35" t="s">
        <v>131</v>
      </c>
    </row>
    <row r="36" spans="1:18" x14ac:dyDescent="0.4">
      <c r="A36" s="1" t="s">
        <v>28</v>
      </c>
      <c r="B36" s="1">
        <v>146</v>
      </c>
      <c r="C36" s="9" t="str">
        <f>HYPERLINK("https://rmda.kulib.kyoto-u.ac.jp/item/rb00002950?page=146")</f>
        <v>https://rmda.kulib.kyoto-u.ac.jp/item/rb00002950?page=146</v>
      </c>
      <c r="D36" s="1">
        <v>298</v>
      </c>
      <c r="E36" s="1" t="str">
        <f>HYPERLINK("https://kokusho.nijl.ac.jp/biblio/200010570/298")</f>
        <v>https://kokusho.nijl.ac.jp/biblio/200010570/298</v>
      </c>
      <c r="F36" s="1">
        <v>53</v>
      </c>
      <c r="G36" s="1" t="str">
        <f>HYPERLINK("https://www.digital.archives.go.jp/img/4416050/53")</f>
        <v>https://www.digital.archives.go.jp/img/4416050/53</v>
      </c>
      <c r="H36" s="7">
        <v>214</v>
      </c>
      <c r="I36" s="1" t="str">
        <f>HYPERLINK("https://rmda.kulib.kyoto-u.ac.jp/item/rb00002414?page=214")</f>
        <v>https://rmda.kulib.kyoto-u.ac.jp/item/rb00002414?page=214</v>
      </c>
      <c r="J36" s="1" t="s">
        <v>130</v>
      </c>
      <c r="K36" s="1"/>
      <c r="L36" s="1">
        <v>180</v>
      </c>
      <c r="M36" s="1" t="str">
        <f>HYPERLINK("https://rmda.kulib.kyoto-u.ac.jp/item/rb00000334?page=180")</f>
        <v>https://rmda.kulib.kyoto-u.ac.jp/item/rb00000334?page=180</v>
      </c>
      <c r="N36" s="1">
        <v>133</v>
      </c>
      <c r="O36" s="1" t="str">
        <f>HYPERLINK("https://rmda.kulib.kyoto-u.ac.jp/item/rb00000296?page=133")</f>
        <v>https://rmda.kulib.kyoto-u.ac.jp/item/rb00000296?page=133</v>
      </c>
      <c r="P36" s="1">
        <v>402</v>
      </c>
      <c r="Q36" s="1" t="str">
        <f>HYPERLINK("https://rmda.kulib.kyoto-u.ac.jp/item/rb00002410?page=402")</f>
        <v>https://rmda.kulib.kyoto-u.ac.jp/item/rb00002410?page=402</v>
      </c>
      <c r="R36" t="s">
        <v>131</v>
      </c>
    </row>
    <row r="37" spans="1:18" x14ac:dyDescent="0.4">
      <c r="A37" s="1" t="s">
        <v>29</v>
      </c>
      <c r="B37" s="1">
        <v>150</v>
      </c>
      <c r="C37" s="9" t="str">
        <f>HYPERLINK("https://rmda.kulib.kyoto-u.ac.jp/item/rb00002950?page=150")</f>
        <v>https://rmda.kulib.kyoto-u.ac.jp/item/rb00002950?page=150</v>
      </c>
      <c r="D37" s="1">
        <v>309</v>
      </c>
      <c r="E37" s="1" t="str">
        <f>HYPERLINK("https://kokusho.nijl.ac.jp/biblio/200010570/309")</f>
        <v>https://kokusho.nijl.ac.jp/biblio/200010570/309</v>
      </c>
      <c r="F37" s="1">
        <v>64</v>
      </c>
      <c r="G37" s="1" t="str">
        <f>HYPERLINK("https://www.digital.archives.go.jp/img/4416050/64")</f>
        <v>https://www.digital.archives.go.jp/img/4416050/64</v>
      </c>
      <c r="H37" s="7">
        <v>218</v>
      </c>
      <c r="I37" s="1" t="str">
        <f>HYPERLINK("https://rmda.kulib.kyoto-u.ac.jp/item/rb00002414?page=218")</f>
        <v>https://rmda.kulib.kyoto-u.ac.jp/item/rb00002414?page=218</v>
      </c>
      <c r="J37" s="1" t="s">
        <v>130</v>
      </c>
      <c r="K37" s="1"/>
      <c r="L37" s="1">
        <v>187</v>
      </c>
      <c r="M37" s="1" t="str">
        <f>HYPERLINK("https://rmda.kulib.kyoto-u.ac.jp/item/rb00000334?page=187")</f>
        <v>https://rmda.kulib.kyoto-u.ac.jp/item/rb00000334?page=187</v>
      </c>
      <c r="N37" s="1">
        <v>137</v>
      </c>
      <c r="O37" s="1" t="str">
        <f>HYPERLINK("https://rmda.kulib.kyoto-u.ac.jp/item/rb00000296?page=137")</f>
        <v>https://rmda.kulib.kyoto-u.ac.jp/item/rb00000296?page=137</v>
      </c>
      <c r="P37" s="1">
        <v>422</v>
      </c>
      <c r="Q37" s="1" t="str">
        <f>HYPERLINK("https://rmda.kulib.kyoto-u.ac.jp/item/rb00002410?page=422")</f>
        <v>https://rmda.kulib.kyoto-u.ac.jp/item/rb00002410?page=422</v>
      </c>
      <c r="R37" t="s">
        <v>131</v>
      </c>
    </row>
    <row r="38" spans="1:18" x14ac:dyDescent="0.4">
      <c r="A38" s="1" t="s">
        <v>30</v>
      </c>
      <c r="B38" s="1">
        <v>151</v>
      </c>
      <c r="C38" s="9" t="str">
        <f>HYPERLINK("https://rmda.kulib.kyoto-u.ac.jp/item/rb00002950?page=151")</f>
        <v>https://rmda.kulib.kyoto-u.ac.jp/item/rb00002950?page=151</v>
      </c>
      <c r="D38" s="1">
        <v>313</v>
      </c>
      <c r="E38" s="1" t="str">
        <f>HYPERLINK("https://kokusho.nijl.ac.jp/biblio/200010570/313")</f>
        <v>https://kokusho.nijl.ac.jp/biblio/200010570/313</v>
      </c>
      <c r="F38" s="1">
        <v>68</v>
      </c>
      <c r="G38" s="1" t="str">
        <f>HYPERLINK("https://www.digital.archives.go.jp/img/4416050/68")</f>
        <v>https://www.digital.archives.go.jp/img/4416050/68</v>
      </c>
      <c r="H38" s="7">
        <v>222</v>
      </c>
      <c r="I38" s="1" t="str">
        <f>HYPERLINK("https://rmda.kulib.kyoto-u.ac.jp/item/rb00002414?page=222")</f>
        <v>https://rmda.kulib.kyoto-u.ac.jp/item/rb00002414?page=222</v>
      </c>
      <c r="J38" s="1" t="s">
        <v>130</v>
      </c>
      <c r="K38" s="1"/>
      <c r="L38" s="1">
        <v>190</v>
      </c>
      <c r="M38" s="1" t="str">
        <f>HYPERLINK("https://rmda.kulib.kyoto-u.ac.jp/item/rb00000334?page=190")</f>
        <v>https://rmda.kulib.kyoto-u.ac.jp/item/rb00000334?page=190</v>
      </c>
      <c r="N38" s="1">
        <v>140</v>
      </c>
      <c r="O38" s="1" t="str">
        <f>HYPERLINK("https://rmda.kulib.kyoto-u.ac.jp/item/rb00000296?page=140")</f>
        <v>https://rmda.kulib.kyoto-u.ac.jp/item/rb00000296?page=140</v>
      </c>
      <c r="P38" s="1">
        <v>428</v>
      </c>
      <c r="Q38" s="1" t="str">
        <f>HYPERLINK("https://rmda.kulib.kyoto-u.ac.jp/item/rb00002410?page=428")</f>
        <v>https://rmda.kulib.kyoto-u.ac.jp/item/rb00002410?page=428</v>
      </c>
      <c r="R38" t="s">
        <v>131</v>
      </c>
    </row>
    <row r="39" spans="1:18" x14ac:dyDescent="0.4">
      <c r="A39" s="1" t="s">
        <v>31</v>
      </c>
      <c r="B39" s="1">
        <v>156</v>
      </c>
      <c r="C39" s="9" t="str">
        <f>HYPERLINK("https://rmda.kulib.kyoto-u.ac.jp/item/rb00002950?page=156")</f>
        <v>https://rmda.kulib.kyoto-u.ac.jp/item/rb00002950?page=156</v>
      </c>
      <c r="D39" s="1">
        <v>314</v>
      </c>
      <c r="E39" s="1" t="str">
        <f>HYPERLINK("https://kokusho.nijl.ac.jp/biblio/200010570/314")</f>
        <v>https://kokusho.nijl.ac.jp/biblio/200010570/314</v>
      </c>
      <c r="F39" s="1">
        <v>2</v>
      </c>
      <c r="G39" s="1" t="str">
        <f>HYPERLINK("https://www.digital.archives.go.jp/img/4416052/2")</f>
        <v>https://www.digital.archives.go.jp/img/4416052/2</v>
      </c>
      <c r="H39" s="7">
        <v>225</v>
      </c>
      <c r="I39" s="1" t="str">
        <f>HYPERLINK("https://rmda.kulib.kyoto-u.ac.jp/item/rb00002414?page=225")</f>
        <v>https://rmda.kulib.kyoto-u.ac.jp/item/rb00002414?page=225</v>
      </c>
      <c r="J39" s="1" t="s">
        <v>130</v>
      </c>
      <c r="K39" s="1"/>
      <c r="L39" s="1">
        <v>191</v>
      </c>
      <c r="M39" s="1" t="str">
        <f>HYPERLINK("https://rmda.kulib.kyoto-u.ac.jp/item/rb00000334?page=191")</f>
        <v>https://rmda.kulib.kyoto-u.ac.jp/item/rb00000334?page=191</v>
      </c>
      <c r="N39" s="1">
        <v>141</v>
      </c>
      <c r="O39" s="1" t="str">
        <f>HYPERLINK("https://rmda.kulib.kyoto-u.ac.jp/item/rb00000296?page=141")</f>
        <v>https://rmda.kulib.kyoto-u.ac.jp/item/rb00000296?page=141</v>
      </c>
      <c r="P39" s="1">
        <v>434</v>
      </c>
      <c r="Q39" s="1" t="str">
        <f>HYPERLINK("https://rmda.kulib.kyoto-u.ac.jp/item/rb00002410?page=434")</f>
        <v>https://rmda.kulib.kyoto-u.ac.jp/item/rb00002410?page=434</v>
      </c>
      <c r="R39" t="s">
        <v>131</v>
      </c>
    </row>
    <row r="40" spans="1:18" x14ac:dyDescent="0.4">
      <c r="A40" s="1" t="s">
        <v>32</v>
      </c>
      <c r="B40" s="1">
        <v>159</v>
      </c>
      <c r="C40" s="9" t="str">
        <f>HYPERLINK("https://rmda.kulib.kyoto-u.ac.jp/item/rb00002950?page=159")</f>
        <v>https://rmda.kulib.kyoto-u.ac.jp/item/rb00002950?page=159</v>
      </c>
      <c r="D40" s="1">
        <v>321</v>
      </c>
      <c r="E40" s="1" t="str">
        <f>HYPERLINK("https://kokusho.nijl.ac.jp/biblio/200010570/321")</f>
        <v>https://kokusho.nijl.ac.jp/biblio/200010570/321</v>
      </c>
      <c r="F40" s="1">
        <v>9</v>
      </c>
      <c r="G40" s="1" t="str">
        <f>HYPERLINK("https://www.digital.archives.go.jp/img/4416052/9")</f>
        <v>https://www.digital.archives.go.jp/img/4416052/9</v>
      </c>
      <c r="H40" s="7">
        <v>230</v>
      </c>
      <c r="I40" s="1" t="str">
        <f>HYPERLINK("https://rmda.kulib.kyoto-u.ac.jp/item/rb00002414?page=230")</f>
        <v>https://rmda.kulib.kyoto-u.ac.jp/item/rb00002414?page=230</v>
      </c>
      <c r="J40" s="1" t="s">
        <v>130</v>
      </c>
      <c r="K40" s="1"/>
      <c r="L40" s="1">
        <v>196</v>
      </c>
      <c r="M40" s="1" t="str">
        <f>HYPERLINK("https://rmda.kulib.kyoto-u.ac.jp/item/rb00000334?page=196")</f>
        <v>https://rmda.kulib.kyoto-u.ac.jp/item/rb00000334?page=196</v>
      </c>
      <c r="N40" s="1">
        <v>146</v>
      </c>
      <c r="O40" s="1" t="str">
        <f>HYPERLINK("https://rmda.kulib.kyoto-u.ac.jp/item/rb00000296?page=146")</f>
        <v>https://rmda.kulib.kyoto-u.ac.jp/item/rb00000296?page=146</v>
      </c>
      <c r="P40" s="1">
        <v>445</v>
      </c>
      <c r="Q40" s="1" t="str">
        <f>HYPERLINK("https://rmda.kulib.kyoto-u.ac.jp/item/rb00002410?page=445")</f>
        <v>https://rmda.kulib.kyoto-u.ac.jp/item/rb00002410?page=445</v>
      </c>
      <c r="R40" t="s">
        <v>131</v>
      </c>
    </row>
    <row r="41" spans="1:18" x14ac:dyDescent="0.4">
      <c r="A41" s="1" t="s">
        <v>33</v>
      </c>
      <c r="B41" s="1">
        <v>164</v>
      </c>
      <c r="C41" s="9" t="str">
        <f>HYPERLINK("https://rmda.kulib.kyoto-u.ac.jp/item/rb00002950?page=164")</f>
        <v>https://rmda.kulib.kyoto-u.ac.jp/item/rb00002950?page=164</v>
      </c>
      <c r="D41" s="1">
        <v>330</v>
      </c>
      <c r="E41" s="1" t="str">
        <f>HYPERLINK("https://kokusho.nijl.ac.jp/biblio/200010570/330")</f>
        <v>https://kokusho.nijl.ac.jp/biblio/200010570/330</v>
      </c>
      <c r="F41" s="1">
        <v>16</v>
      </c>
      <c r="G41" s="1" t="str">
        <f>HYPERLINK("https://www.digital.archives.go.jp/img/4416052/16")</f>
        <v>https://www.digital.archives.go.jp/img/4416052/16</v>
      </c>
      <c r="H41" s="7">
        <v>232</v>
      </c>
      <c r="I41" s="1" t="str">
        <f>HYPERLINK("https://rmda.kulib.kyoto-u.ac.jp/item/rb00002414?page=232")</f>
        <v>https://rmda.kulib.kyoto-u.ac.jp/item/rb00002414?page=232</v>
      </c>
      <c r="J41" s="1" t="s">
        <v>130</v>
      </c>
      <c r="K41" s="1"/>
      <c r="L41" s="1">
        <v>201</v>
      </c>
      <c r="M41" s="1" t="str">
        <f>HYPERLINK("https://rmda.kulib.kyoto-u.ac.jp/item/rb00000334?page=201")</f>
        <v>https://rmda.kulib.kyoto-u.ac.jp/item/rb00000334?page=201</v>
      </c>
      <c r="N41" s="1">
        <v>151</v>
      </c>
      <c r="O41" s="1" t="str">
        <f>HYPERLINK("https://rmda.kulib.kyoto-u.ac.jp/item/rb00000296?page=151")</f>
        <v>https://rmda.kulib.kyoto-u.ac.jp/item/rb00000296?page=151</v>
      </c>
      <c r="P41" s="1">
        <v>459</v>
      </c>
      <c r="Q41" s="1" t="str">
        <f>HYPERLINK("https://rmda.kulib.kyoto-u.ac.jp/item/rb00002410?page=459")</f>
        <v>https://rmda.kulib.kyoto-u.ac.jp/item/rb00002410?page=459</v>
      </c>
      <c r="R41" t="s">
        <v>131</v>
      </c>
    </row>
    <row r="42" spans="1:18" x14ac:dyDescent="0.4">
      <c r="A42" s="1" t="s">
        <v>34</v>
      </c>
      <c r="B42" s="1">
        <v>167</v>
      </c>
      <c r="C42" s="9" t="str">
        <f>HYPERLINK("https://rmda.kulib.kyoto-u.ac.jp/item/rb00002950?page=167")</f>
        <v>https://rmda.kulib.kyoto-u.ac.jp/item/rb00002950?page=167</v>
      </c>
      <c r="D42" s="1">
        <v>335</v>
      </c>
      <c r="E42" s="1" t="str">
        <f>HYPERLINK("https://kokusho.nijl.ac.jp/biblio/200010570/335")</f>
        <v>https://kokusho.nijl.ac.jp/biblio/200010570/335</v>
      </c>
      <c r="F42" s="1">
        <v>22</v>
      </c>
      <c r="G42" s="1" t="str">
        <f>HYPERLINK("https://www.digital.archives.go.jp/img/4416052/22")</f>
        <v>https://www.digital.archives.go.jp/img/4416052/22</v>
      </c>
      <c r="H42" s="7">
        <v>236</v>
      </c>
      <c r="I42" s="1" t="str">
        <f>HYPERLINK("https://rmda.kulib.kyoto-u.ac.jp/item/rb00002414?page=236")</f>
        <v>https://rmda.kulib.kyoto-u.ac.jp/item/rb00002414?page=236</v>
      </c>
      <c r="J42" s="1" t="s">
        <v>130</v>
      </c>
      <c r="K42" s="1"/>
      <c r="L42" s="1">
        <v>206</v>
      </c>
      <c r="M42" s="1" t="str">
        <f>HYPERLINK("https://rmda.kulib.kyoto-u.ac.jp/item/rb00000334?page=206")</f>
        <v>https://rmda.kulib.kyoto-u.ac.jp/item/rb00000334?page=206</v>
      </c>
      <c r="N42" s="1">
        <v>155</v>
      </c>
      <c r="O42" s="1" t="str">
        <f>HYPERLINK("https://rmda.kulib.kyoto-u.ac.jp/item/rb00000296?page=155")</f>
        <v>https://rmda.kulib.kyoto-u.ac.jp/item/rb00000296?page=155</v>
      </c>
      <c r="P42" s="1">
        <v>467</v>
      </c>
      <c r="Q42" s="1" t="str">
        <f>HYPERLINK("https://rmda.kulib.kyoto-u.ac.jp/item/rb00002410?page=467")</f>
        <v>https://rmda.kulib.kyoto-u.ac.jp/item/rb00002410?page=467</v>
      </c>
      <c r="R42" t="s">
        <v>131</v>
      </c>
    </row>
    <row r="43" spans="1:18" x14ac:dyDescent="0.4">
      <c r="A43" s="1" t="s">
        <v>35</v>
      </c>
      <c r="B43" s="1">
        <v>169</v>
      </c>
      <c r="C43" s="9" t="str">
        <f>HYPERLINK("https://rmda.kulib.kyoto-u.ac.jp/item/rb00002950?page=169")</f>
        <v>https://rmda.kulib.kyoto-u.ac.jp/item/rb00002950?page=169</v>
      </c>
      <c r="D43" s="1">
        <v>339</v>
      </c>
      <c r="E43" s="1" t="str">
        <f>HYPERLINK("https://kokusho.nijl.ac.jp/biblio/200010570/339")</f>
        <v>https://kokusho.nijl.ac.jp/biblio/200010570/339</v>
      </c>
      <c r="F43" s="1">
        <v>27</v>
      </c>
      <c r="G43" s="1" t="str">
        <f>HYPERLINK("https://www.digital.archives.go.jp/img/4416052/27")</f>
        <v>https://www.digital.archives.go.jp/img/4416052/27</v>
      </c>
      <c r="H43" s="7">
        <v>240</v>
      </c>
      <c r="I43" s="1" t="str">
        <f>HYPERLINK("https://rmda.kulib.kyoto-u.ac.jp/item/rb00002414?page=240")</f>
        <v>https://rmda.kulib.kyoto-u.ac.jp/item/rb00002414?page=240</v>
      </c>
      <c r="J43" s="1" t="s">
        <v>130</v>
      </c>
      <c r="K43" s="1"/>
      <c r="L43" s="1">
        <v>209</v>
      </c>
      <c r="M43" s="1" t="str">
        <f>HYPERLINK("https://rmda.kulib.kyoto-u.ac.jp/item/rb00000334?page=209")</f>
        <v>https://rmda.kulib.kyoto-u.ac.jp/item/rb00000334?page=209</v>
      </c>
      <c r="N43" s="1">
        <v>161</v>
      </c>
      <c r="O43" s="1" t="str">
        <f>HYPERLINK("https://rmda.kulib.kyoto-u.ac.jp/item/rb00000296?page=161")</f>
        <v>https://rmda.kulib.kyoto-u.ac.jp/item/rb00000296?page=161</v>
      </c>
      <c r="P43" s="1">
        <v>473</v>
      </c>
      <c r="Q43" s="1" t="str">
        <f>HYPERLINK("https://rmda.kulib.kyoto-u.ac.jp/item/rb00002410?page=473")</f>
        <v>https://rmda.kulib.kyoto-u.ac.jp/item/rb00002410?page=473</v>
      </c>
      <c r="R43" t="s">
        <v>131</v>
      </c>
    </row>
    <row r="44" spans="1:18" x14ac:dyDescent="0.4">
      <c r="A44" s="1" t="s">
        <v>36</v>
      </c>
      <c r="B44" s="1">
        <v>175</v>
      </c>
      <c r="C44" s="9" t="str">
        <f>HYPERLINK("https://rmda.kulib.kyoto-u.ac.jp/item/rb00002950?page=175")</f>
        <v>https://rmda.kulib.kyoto-u.ac.jp/item/rb00002950?page=175</v>
      </c>
      <c r="D44" s="1">
        <v>353</v>
      </c>
      <c r="E44" s="1" t="str">
        <f>HYPERLINK("https://kokusho.nijl.ac.jp/biblio/200010570/353")</f>
        <v>https://kokusho.nijl.ac.jp/biblio/200010570/353</v>
      </c>
      <c r="F44" s="1">
        <v>37</v>
      </c>
      <c r="G44" s="1" t="str">
        <f>HYPERLINK("https://www.digital.archives.go.jp/img/4416052/37")</f>
        <v>https://www.digital.archives.go.jp/img/4416052/37</v>
      </c>
      <c r="H44" s="7">
        <v>250</v>
      </c>
      <c r="I44" s="1" t="str">
        <f>HYPERLINK("https://rmda.kulib.kyoto-u.ac.jp/item/rb00002414?page=250")</f>
        <v>https://rmda.kulib.kyoto-u.ac.jp/item/rb00002414?page=250</v>
      </c>
      <c r="J44" s="1" t="s">
        <v>130</v>
      </c>
      <c r="K44" s="1"/>
      <c r="L44" s="1">
        <v>219</v>
      </c>
      <c r="M44" s="1" t="str">
        <f>HYPERLINK("https://rmda.kulib.kyoto-u.ac.jp/item/rb00000334?page=219")</f>
        <v>https://rmda.kulib.kyoto-u.ac.jp/item/rb00000334?page=219</v>
      </c>
      <c r="N44" s="1">
        <v>168</v>
      </c>
      <c r="O44" s="1" t="str">
        <f>HYPERLINK("https://rmda.kulib.kyoto-u.ac.jp/item/rb00000296?page=168")</f>
        <v>https://rmda.kulib.kyoto-u.ac.jp/item/rb00000296?page=168</v>
      </c>
      <c r="P44" s="1">
        <v>491</v>
      </c>
      <c r="Q44" s="1" t="str">
        <f>HYPERLINK("https://rmda.kulib.kyoto-u.ac.jp/item/rb00002410?page=491")</f>
        <v>https://rmda.kulib.kyoto-u.ac.jp/item/rb00002410?page=491</v>
      </c>
      <c r="R44" t="s">
        <v>131</v>
      </c>
    </row>
    <row r="45" spans="1:18" x14ac:dyDescent="0.4">
      <c r="A45" s="1" t="s">
        <v>37</v>
      </c>
      <c r="B45" s="1">
        <v>178</v>
      </c>
      <c r="C45" s="9" t="str">
        <f>HYPERLINK("https://rmda.kulib.kyoto-u.ac.jp/item/rb00002950?page=178")</f>
        <v>https://rmda.kulib.kyoto-u.ac.jp/item/rb00002950?page=178</v>
      </c>
      <c r="D45" s="1">
        <v>367</v>
      </c>
      <c r="E45" s="1" t="str">
        <f>HYPERLINK("https://kokusho.nijl.ac.jp/biblio/200010570/367")</f>
        <v>https://kokusho.nijl.ac.jp/biblio/200010570/367</v>
      </c>
      <c r="F45" s="1">
        <v>45</v>
      </c>
      <c r="G45" s="1" t="str">
        <f>HYPERLINK("https://www.digital.archives.go.jp/img/4416052/45")</f>
        <v>https://www.digital.archives.go.jp/img/4416052/45</v>
      </c>
      <c r="H45" s="7">
        <v>257</v>
      </c>
      <c r="I45" s="1" t="str">
        <f>HYPERLINK("https://rmda.kulib.kyoto-u.ac.jp/item/rb00002414?page=257")</f>
        <v>https://rmda.kulib.kyoto-u.ac.jp/item/rb00002414?page=257</v>
      </c>
      <c r="J45" s="1" t="s">
        <v>130</v>
      </c>
      <c r="K45" s="1"/>
      <c r="L45" s="1">
        <v>227</v>
      </c>
      <c r="M45" s="1" t="str">
        <f>HYPERLINK("https://rmda.kulib.kyoto-u.ac.jp/item/rb00000334?page=227")</f>
        <v>https://rmda.kulib.kyoto-u.ac.jp/item/rb00000334?page=227</v>
      </c>
      <c r="N45" s="1">
        <v>174</v>
      </c>
      <c r="O45" s="1" t="str">
        <f>HYPERLINK("https://rmda.kulib.kyoto-u.ac.jp/item/rb00000296?page=174")</f>
        <v>https://rmda.kulib.kyoto-u.ac.jp/item/rb00000296?page=174</v>
      </c>
      <c r="P45" s="1">
        <v>507</v>
      </c>
      <c r="Q45" s="1" t="str">
        <f>HYPERLINK("https://rmda.kulib.kyoto-u.ac.jp/item/rb00002410?page=507")</f>
        <v>https://rmda.kulib.kyoto-u.ac.jp/item/rb00002410?page=507</v>
      </c>
      <c r="R45" t="s">
        <v>131</v>
      </c>
    </row>
    <row r="46" spans="1:18" x14ac:dyDescent="0.4">
      <c r="A46" s="1" t="s">
        <v>38</v>
      </c>
      <c r="B46" s="1">
        <v>180</v>
      </c>
      <c r="C46" s="9" t="str">
        <f>HYPERLINK("https://rmda.kulib.kyoto-u.ac.jp/item/rb00002950?page=180")</f>
        <v>https://rmda.kulib.kyoto-u.ac.jp/item/rb00002950?page=180</v>
      </c>
      <c r="D46" s="1">
        <v>371</v>
      </c>
      <c r="E46" s="1" t="str">
        <f>HYPERLINK("https://kokusho.nijl.ac.jp/biblio/200010570/371")</f>
        <v>https://kokusho.nijl.ac.jp/biblio/200010570/371</v>
      </c>
      <c r="F46" s="1">
        <v>48</v>
      </c>
      <c r="G46" s="1" t="str">
        <f>HYPERLINK("https://www.digital.archives.go.jp/img/4416052/48")</f>
        <v>https://www.digital.archives.go.jp/img/4416052/48</v>
      </c>
      <c r="H46" s="7">
        <v>259</v>
      </c>
      <c r="I46" s="1" t="str">
        <f>HYPERLINK("https://rmda.kulib.kyoto-u.ac.jp/item/rb00002414?page=259")</f>
        <v>https://rmda.kulib.kyoto-u.ac.jp/item/rb00002414?page=259</v>
      </c>
      <c r="J46" s="1" t="s">
        <v>130</v>
      </c>
      <c r="K46" s="1"/>
      <c r="L46" s="1">
        <v>229</v>
      </c>
      <c r="M46" s="1" t="str">
        <f>HYPERLINK("https://rmda.kulib.kyoto-u.ac.jp/item/rb00000334?page=229")</f>
        <v>https://rmda.kulib.kyoto-u.ac.jp/item/rb00000334?page=229</v>
      </c>
      <c r="N46" s="1">
        <v>177</v>
      </c>
      <c r="O46" s="1" t="str">
        <f>HYPERLINK("https://rmda.kulib.kyoto-u.ac.jp/item/rb00000296?page=177")</f>
        <v>https://rmda.kulib.kyoto-u.ac.jp/item/rb00000296?page=177</v>
      </c>
      <c r="P46" s="1">
        <v>515</v>
      </c>
      <c r="Q46" s="1" t="str">
        <f>HYPERLINK("https://rmda.kulib.kyoto-u.ac.jp/item/rb00002410?page=515")</f>
        <v>https://rmda.kulib.kyoto-u.ac.jp/item/rb00002410?page=515</v>
      </c>
      <c r="R46" t="s">
        <v>131</v>
      </c>
    </row>
    <row r="47" spans="1:18" x14ac:dyDescent="0.4">
      <c r="A47" s="1" t="s">
        <v>39</v>
      </c>
      <c r="B47" s="1">
        <v>182</v>
      </c>
      <c r="C47" s="9" t="str">
        <f>HYPERLINK("https://rmda.kulib.kyoto-u.ac.jp/item/rb00002950?page=182")</f>
        <v>https://rmda.kulib.kyoto-u.ac.jp/item/rb00002950?page=182</v>
      </c>
      <c r="D47" s="1">
        <v>375</v>
      </c>
      <c r="E47" s="1" t="str">
        <f>HYPERLINK("https://kokusho.nijl.ac.jp/biblio/200010570/375")</f>
        <v>https://kokusho.nijl.ac.jp/biblio/200010570/375</v>
      </c>
      <c r="F47" s="1">
        <v>51</v>
      </c>
      <c r="G47" s="1" t="str">
        <f>HYPERLINK("https://www.digital.archives.go.jp/img/4416052/51")</f>
        <v>https://www.digital.archives.go.jp/img/4416052/51</v>
      </c>
      <c r="H47" s="7">
        <v>262</v>
      </c>
      <c r="I47" s="1" t="str">
        <f>HYPERLINK("https://rmda.kulib.kyoto-u.ac.jp/item/rb00002414?page=262")</f>
        <v>https://rmda.kulib.kyoto-u.ac.jp/item/rb00002414?page=262</v>
      </c>
      <c r="J47" s="1" t="s">
        <v>130</v>
      </c>
      <c r="K47" s="1"/>
      <c r="L47" s="1">
        <v>231</v>
      </c>
      <c r="M47" s="1" t="str">
        <f>HYPERLINK("https://rmda.kulib.kyoto-u.ac.jp/item/rb00000334?page=231")</f>
        <v>https://rmda.kulib.kyoto-u.ac.jp/item/rb00000334?page=231</v>
      </c>
      <c r="N47" s="1">
        <v>180</v>
      </c>
      <c r="O47" s="1" t="str">
        <f>HYPERLINK("https://rmda.kulib.kyoto-u.ac.jp/item/rb00000296?page=180")</f>
        <v>https://rmda.kulib.kyoto-u.ac.jp/item/rb00000296?page=180</v>
      </c>
      <c r="P47" s="1">
        <v>526</v>
      </c>
      <c r="Q47" s="1" t="str">
        <f>HYPERLINK("https://rmda.kulib.kyoto-u.ac.jp/item/rb00002410?page=526")</f>
        <v>https://rmda.kulib.kyoto-u.ac.jp/item/rb00002410?page=526</v>
      </c>
      <c r="R47" t="s">
        <v>131</v>
      </c>
    </row>
    <row r="48" spans="1:18" x14ac:dyDescent="0.4">
      <c r="A48" s="1" t="s">
        <v>40</v>
      </c>
      <c r="B48" s="1">
        <v>186</v>
      </c>
      <c r="C48" s="9" t="str">
        <f>HYPERLINK("https://rmda.kulib.kyoto-u.ac.jp/item/rb00002950?page=186")</f>
        <v>https://rmda.kulib.kyoto-u.ac.jp/item/rb00002950?page=186</v>
      </c>
      <c r="D48" s="1">
        <v>382</v>
      </c>
      <c r="E48" s="1" t="str">
        <f>HYPERLINK("https://kokusho.nijl.ac.jp/biblio/200010570/382")</f>
        <v>https://kokusho.nijl.ac.jp/biblio/200010570/382</v>
      </c>
      <c r="F48" s="1">
        <v>57</v>
      </c>
      <c r="G48" s="1" t="str">
        <f>HYPERLINK("https://www.digital.archives.go.jp/img/4416052/57")</f>
        <v>https://www.digital.archives.go.jp/img/4416052/57</v>
      </c>
      <c r="H48" s="7">
        <v>267</v>
      </c>
      <c r="I48" s="1" t="str">
        <f>HYPERLINK("https://rmda.kulib.kyoto-u.ac.jp/item/rb00002414?page=267")</f>
        <v>https://rmda.kulib.kyoto-u.ac.jp/item/rb00002414?page=267</v>
      </c>
      <c r="J48" s="1" t="s">
        <v>130</v>
      </c>
      <c r="K48" s="1"/>
      <c r="L48" s="1">
        <v>236</v>
      </c>
      <c r="M48" s="1" t="str">
        <f>HYPERLINK("https://rmda.kulib.kyoto-u.ac.jp/item/rb00000334?page=236")</f>
        <v>https://rmda.kulib.kyoto-u.ac.jp/item/rb00000334?page=236</v>
      </c>
      <c r="N48" s="1">
        <v>186</v>
      </c>
      <c r="O48" s="1" t="str">
        <f>HYPERLINK("https://rmda.kulib.kyoto-u.ac.jp/item/rb00000296?page=186")</f>
        <v>https://rmda.kulib.kyoto-u.ac.jp/item/rb00000296?page=186</v>
      </c>
      <c r="P48" s="1">
        <v>540</v>
      </c>
      <c r="Q48" s="1" t="str">
        <f>HYPERLINK("https://rmda.kulib.kyoto-u.ac.jp/item/rb00002410?page=540")</f>
        <v>https://rmda.kulib.kyoto-u.ac.jp/item/rb00002410?page=540</v>
      </c>
      <c r="R48" t="s">
        <v>131</v>
      </c>
    </row>
    <row r="49" spans="1:18" x14ac:dyDescent="0.4">
      <c r="A49" s="1" t="s">
        <v>41</v>
      </c>
      <c r="B49" s="1">
        <v>189</v>
      </c>
      <c r="C49" s="9" t="str">
        <f>HYPERLINK("https://rmda.kulib.kyoto-u.ac.jp/item/rb00002950?page=189")</f>
        <v>https://rmda.kulib.kyoto-u.ac.jp/item/rb00002950?page=189</v>
      </c>
      <c r="D49" s="1">
        <v>389</v>
      </c>
      <c r="E49" s="1" t="str">
        <f>HYPERLINK("https://kokusho.nijl.ac.jp/biblio/200010570/389")</f>
        <v>https://kokusho.nijl.ac.jp/biblio/200010570/389</v>
      </c>
      <c r="F49" s="1">
        <v>2</v>
      </c>
      <c r="G49" s="1" t="str">
        <f>HYPERLINK("https://www.digital.archives.go.jp/img/4416054/2")</f>
        <v>https://www.digital.archives.go.jp/img/4416054/2</v>
      </c>
      <c r="H49" s="7">
        <v>270</v>
      </c>
      <c r="I49" s="1" t="str">
        <f>HYPERLINK("https://rmda.kulib.kyoto-u.ac.jp/item/rb00002414?page=270")</f>
        <v>https://rmda.kulib.kyoto-u.ac.jp/item/rb00002414?page=270</v>
      </c>
      <c r="J49" s="1" t="s">
        <v>130</v>
      </c>
      <c r="K49" s="1"/>
      <c r="L49" s="1">
        <v>241</v>
      </c>
      <c r="M49" s="1" t="str">
        <f>HYPERLINK("https://rmda.kulib.kyoto-u.ac.jp/item/rb00000334?page=241")</f>
        <v>https://rmda.kulib.kyoto-u.ac.jp/item/rb00000334?page=241</v>
      </c>
      <c r="N49" s="1">
        <v>189</v>
      </c>
      <c r="O49" s="1" t="str">
        <f>HYPERLINK("https://rmda.kulib.kyoto-u.ac.jp/item/rb00000296?page=189")</f>
        <v>https://rmda.kulib.kyoto-u.ac.jp/item/rb00000296?page=189</v>
      </c>
      <c r="P49" s="1">
        <v>555</v>
      </c>
      <c r="Q49" s="1" t="str">
        <f>HYPERLINK("https://rmda.kulib.kyoto-u.ac.jp/item/rb00002410?page=555")</f>
        <v>https://rmda.kulib.kyoto-u.ac.jp/item/rb00002410?page=555</v>
      </c>
      <c r="R49" t="s">
        <v>131</v>
      </c>
    </row>
    <row r="50" spans="1:18" x14ac:dyDescent="0.4">
      <c r="A50" s="1" t="s">
        <v>42</v>
      </c>
      <c r="B50" s="1">
        <v>198</v>
      </c>
      <c r="C50" s="9" t="str">
        <f>HYPERLINK("https://rmda.kulib.kyoto-u.ac.jp/item/rb00002950?page=198")</f>
        <v>https://rmda.kulib.kyoto-u.ac.jp/item/rb00002950?page=198</v>
      </c>
      <c r="D50" s="1">
        <v>400</v>
      </c>
      <c r="E50" s="1" t="str">
        <f>HYPERLINK("https://kokusho.nijl.ac.jp/biblio/200010570/400")</f>
        <v>https://kokusho.nijl.ac.jp/biblio/200010570/400</v>
      </c>
      <c r="F50" s="1">
        <v>10</v>
      </c>
      <c r="G50" s="1" t="str">
        <f>HYPERLINK("https://www.digital.archives.go.jp/img/4416054/10")</f>
        <v>https://www.digital.archives.go.jp/img/4416054/10</v>
      </c>
      <c r="H50" s="7">
        <v>271</v>
      </c>
      <c r="I50" s="1" t="str">
        <f>HYPERLINK("https://rmda.kulib.kyoto-u.ac.jp/item/rb00002414?page=271")</f>
        <v>https://rmda.kulib.kyoto-u.ac.jp/item/rb00002414?page=271</v>
      </c>
      <c r="J50" s="1" t="s">
        <v>130</v>
      </c>
      <c r="K50" s="1"/>
      <c r="L50" s="1">
        <v>246</v>
      </c>
      <c r="M50" s="1" t="str">
        <f>HYPERLINK("https://rmda.kulib.kyoto-u.ac.jp/item/rb00000334?page=246")</f>
        <v>https://rmda.kulib.kyoto-u.ac.jp/item/rb00000334?page=246</v>
      </c>
      <c r="N50" s="1">
        <v>193</v>
      </c>
      <c r="O50" s="1" t="str">
        <f>HYPERLINK("https://rmda.kulib.kyoto-u.ac.jp/item/rb00000296?page=193")</f>
        <v>https://rmda.kulib.kyoto-u.ac.jp/item/rb00000296?page=193</v>
      </c>
      <c r="P50" s="1">
        <v>573</v>
      </c>
      <c r="Q50" s="1" t="str">
        <f>HYPERLINK("https://rmda.kulib.kyoto-u.ac.jp/item/rb00002410?page=573")</f>
        <v>https://rmda.kulib.kyoto-u.ac.jp/item/rb00002410?page=573</v>
      </c>
      <c r="R50" t="s">
        <v>131</v>
      </c>
    </row>
    <row r="51" spans="1:18" x14ac:dyDescent="0.4">
      <c r="A51" s="1" t="s">
        <v>43</v>
      </c>
      <c r="B51" s="1">
        <v>202</v>
      </c>
      <c r="C51" s="9" t="str">
        <f>HYPERLINK("https://rmda.kulib.kyoto-u.ac.jp/item/rb00002950?page=202")</f>
        <v>https://rmda.kulib.kyoto-u.ac.jp/item/rb00002950?page=202</v>
      </c>
      <c r="D51" s="1">
        <v>407</v>
      </c>
      <c r="E51" s="1" t="str">
        <f>HYPERLINK("https://kokusho.nijl.ac.jp/biblio/200010570/407")</f>
        <v>https://kokusho.nijl.ac.jp/biblio/200010570/407</v>
      </c>
      <c r="F51" s="1">
        <v>17</v>
      </c>
      <c r="G51" s="1" t="str">
        <f>HYPERLINK("https://www.digital.archives.go.jp/img/4416054/17")</f>
        <v>https://www.digital.archives.go.jp/img/4416054/17</v>
      </c>
      <c r="H51" s="7">
        <v>276</v>
      </c>
      <c r="I51" s="1" t="str">
        <f>HYPERLINK("https://rmda.kulib.kyoto-u.ac.jp/item/rb00002414?page=276")</f>
        <v>https://rmda.kulib.kyoto-u.ac.jp/item/rb00002414?page=276</v>
      </c>
      <c r="J51" s="1" t="s">
        <v>130</v>
      </c>
      <c r="K51" s="1"/>
      <c r="L51" s="1">
        <v>251</v>
      </c>
      <c r="M51" s="1" t="str">
        <f>HYPERLINK("https://rmda.kulib.kyoto-u.ac.jp/item/rb00000334?page=251")</f>
        <v>https://rmda.kulib.kyoto-u.ac.jp/item/rb00000334?page=251</v>
      </c>
      <c r="N51" s="1">
        <v>198</v>
      </c>
      <c r="O51" s="1" t="str">
        <f>HYPERLINK("https://rmda.kulib.kyoto-u.ac.jp/item/rb00000296?page=198")</f>
        <v>https://rmda.kulib.kyoto-u.ac.jp/item/rb00000296?page=198</v>
      </c>
      <c r="P51" s="1">
        <v>589</v>
      </c>
      <c r="Q51" s="1" t="str">
        <f>HYPERLINK("https://rmda.kulib.kyoto-u.ac.jp/item/rb00002410?page=589")</f>
        <v>https://rmda.kulib.kyoto-u.ac.jp/item/rb00002410?page=589</v>
      </c>
      <c r="R51" t="s">
        <v>131</v>
      </c>
    </row>
    <row r="52" spans="1:18" x14ac:dyDescent="0.4">
      <c r="A52" s="1" t="s">
        <v>44</v>
      </c>
      <c r="B52" s="1">
        <v>206</v>
      </c>
      <c r="C52" s="9" t="str">
        <f>HYPERLINK("https://rmda.kulib.kyoto-u.ac.jp/item/rb00002950?page=206")</f>
        <v>https://rmda.kulib.kyoto-u.ac.jp/item/rb00002950?page=206</v>
      </c>
      <c r="D52" s="1">
        <v>418</v>
      </c>
      <c r="E52" s="1" t="str">
        <f>HYPERLINK("https://kokusho.nijl.ac.jp/biblio/200010570/418")</f>
        <v>https://kokusho.nijl.ac.jp/biblio/200010570/418</v>
      </c>
      <c r="F52" s="1">
        <v>24</v>
      </c>
      <c r="G52" s="1" t="str">
        <f>HYPERLINK("https://www.digital.archives.go.jp/img/4416054/24")</f>
        <v>https://www.digital.archives.go.jp/img/4416054/24</v>
      </c>
      <c r="H52" s="7">
        <v>281</v>
      </c>
      <c r="I52" s="1" t="str">
        <f>HYPERLINK("https://rmda.kulib.kyoto-u.ac.jp/item/rb00002414?page=281")</f>
        <v>https://rmda.kulib.kyoto-u.ac.jp/item/rb00002414?page=281</v>
      </c>
      <c r="J52" s="1" t="s">
        <v>130</v>
      </c>
      <c r="K52" s="1"/>
      <c r="L52" s="1">
        <v>256</v>
      </c>
      <c r="M52" s="1" t="str">
        <f>HYPERLINK("https://rmda.kulib.kyoto-u.ac.jp/item/rb00000334?page=256")</f>
        <v>https://rmda.kulib.kyoto-u.ac.jp/item/rb00000334?page=256</v>
      </c>
      <c r="N52" s="1">
        <v>204</v>
      </c>
      <c r="O52" s="1" t="str">
        <f>HYPERLINK("https://rmda.kulib.kyoto-u.ac.jp/item/rb00000296?page=204")</f>
        <v>https://rmda.kulib.kyoto-u.ac.jp/item/rb00000296?page=204</v>
      </c>
      <c r="P52" s="1">
        <v>606</v>
      </c>
      <c r="Q52" s="1" t="str">
        <f>HYPERLINK("https://rmda.kulib.kyoto-u.ac.jp/item/rb00002410?page=606")</f>
        <v>https://rmda.kulib.kyoto-u.ac.jp/item/rb00002410?page=606</v>
      </c>
      <c r="R52" t="s">
        <v>131</v>
      </c>
    </row>
    <row r="53" spans="1:18" x14ac:dyDescent="0.4">
      <c r="A53" s="1" t="s">
        <v>45</v>
      </c>
      <c r="B53" s="1">
        <v>208</v>
      </c>
      <c r="C53" s="9" t="str">
        <f>HYPERLINK("https://rmda.kulib.kyoto-u.ac.jp/item/rb00002950?page=208")</f>
        <v>https://rmda.kulib.kyoto-u.ac.jp/item/rb00002950?page=208</v>
      </c>
      <c r="D53" s="1">
        <v>424</v>
      </c>
      <c r="E53" s="1" t="str">
        <f>HYPERLINK("https://kokusho.nijl.ac.jp/biblio/200010570/424")</f>
        <v>https://kokusho.nijl.ac.jp/biblio/200010570/424</v>
      </c>
      <c r="F53" s="1">
        <v>29</v>
      </c>
      <c r="G53" s="1" t="str">
        <f>HYPERLINK("https://www.digital.archives.go.jp/img/4416054/29")</f>
        <v>https://www.digital.archives.go.jp/img/4416054/29</v>
      </c>
      <c r="H53" s="7">
        <v>285</v>
      </c>
      <c r="I53" s="1" t="str">
        <f>HYPERLINK("https://rmda.kulib.kyoto-u.ac.jp/item/rb00002414?page=285")</f>
        <v>https://rmda.kulib.kyoto-u.ac.jp/item/rb00002414?page=285</v>
      </c>
      <c r="J53" s="1" t="s">
        <v>130</v>
      </c>
      <c r="K53" s="1"/>
      <c r="L53" s="1">
        <v>259</v>
      </c>
      <c r="M53" s="1" t="str">
        <f>HYPERLINK("https://rmda.kulib.kyoto-u.ac.jp/item/rb00000334?page=259")</f>
        <v>https://rmda.kulib.kyoto-u.ac.jp/item/rb00000334?page=259</v>
      </c>
      <c r="N53" s="1">
        <v>208</v>
      </c>
      <c r="O53" s="1" t="str">
        <f>HYPERLINK("https://rmda.kulib.kyoto-u.ac.jp/item/rb00000296?page=208")</f>
        <v>https://rmda.kulib.kyoto-u.ac.jp/item/rb00000296?page=208</v>
      </c>
      <c r="P53" s="1">
        <v>617</v>
      </c>
      <c r="Q53" s="1" t="str">
        <f>HYPERLINK("https://rmda.kulib.kyoto-u.ac.jp/item/rb00002410?page=617")</f>
        <v>https://rmda.kulib.kyoto-u.ac.jp/item/rb00002410?page=617</v>
      </c>
      <c r="R53" t="s">
        <v>131</v>
      </c>
    </row>
    <row r="54" spans="1:18" x14ac:dyDescent="0.4">
      <c r="A54" s="1" t="s">
        <v>46</v>
      </c>
      <c r="B54" s="1">
        <v>212</v>
      </c>
      <c r="C54" s="9" t="str">
        <f>HYPERLINK("https://rmda.kulib.kyoto-u.ac.jp/item/rb00002950?page=212")</f>
        <v>https://rmda.kulib.kyoto-u.ac.jp/item/rb00002950?page=212</v>
      </c>
      <c r="D54" s="1">
        <v>436</v>
      </c>
      <c r="E54" s="1" t="str">
        <f>HYPERLINK("https://kokusho.nijl.ac.jp/biblio/200010570/436")</f>
        <v>https://kokusho.nijl.ac.jp/biblio/200010570/436</v>
      </c>
      <c r="F54" s="1">
        <v>36</v>
      </c>
      <c r="G54" s="1" t="str">
        <f>HYPERLINK("https://www.digital.archives.go.jp/img/4416054/36")</f>
        <v>https://www.digital.archives.go.jp/img/4416054/36</v>
      </c>
      <c r="H54" s="7">
        <v>296</v>
      </c>
      <c r="I54" s="1" t="str">
        <f>HYPERLINK("https://rmda.kulib.kyoto-u.ac.jp/item/rb00002414?page=296")</f>
        <v>https://rmda.kulib.kyoto-u.ac.jp/item/rb00002414?page=296</v>
      </c>
      <c r="J54" s="1" t="s">
        <v>130</v>
      </c>
      <c r="K54" s="1"/>
      <c r="L54" s="1">
        <v>267</v>
      </c>
      <c r="M54" s="1" t="str">
        <f>HYPERLINK("https://rmda.kulib.kyoto-u.ac.jp/item/rb00000334?page=267")</f>
        <v>https://rmda.kulib.kyoto-u.ac.jp/item/rb00000334?page=267</v>
      </c>
      <c r="N54" s="1">
        <v>214</v>
      </c>
      <c r="O54" s="1" t="str">
        <f>HYPERLINK("https://rmda.kulib.kyoto-u.ac.jp/item/rb00000296?page=214")</f>
        <v>https://rmda.kulib.kyoto-u.ac.jp/item/rb00000296?page=214</v>
      </c>
      <c r="P54" s="1">
        <v>632</v>
      </c>
      <c r="Q54" s="1" t="str">
        <f>HYPERLINK("https://rmda.kulib.kyoto-u.ac.jp/item/rb00002410?page=632")</f>
        <v>https://rmda.kulib.kyoto-u.ac.jp/item/rb00002410?page=632</v>
      </c>
      <c r="R54" t="s">
        <v>131</v>
      </c>
    </row>
    <row r="55" spans="1:18" x14ac:dyDescent="0.4">
      <c r="A55" s="1" t="s">
        <v>47</v>
      </c>
      <c r="B55" s="1">
        <v>215</v>
      </c>
      <c r="C55" s="9" t="str">
        <f>HYPERLINK("https://rmda.kulib.kyoto-u.ac.jp/item/rb00002950?page=215")</f>
        <v>https://rmda.kulib.kyoto-u.ac.jp/item/rb00002950?page=215</v>
      </c>
      <c r="D55" s="1">
        <v>441</v>
      </c>
      <c r="E55" s="1" t="str">
        <f>HYPERLINK("https://kokusho.nijl.ac.jp/biblio/200010570/441")</f>
        <v>https://kokusho.nijl.ac.jp/biblio/200010570/441</v>
      </c>
      <c r="F55" s="1">
        <v>41</v>
      </c>
      <c r="G55" s="1" t="str">
        <f>HYPERLINK("https://www.digital.archives.go.jp/img/4416054/41")</f>
        <v>https://www.digital.archives.go.jp/img/4416054/41</v>
      </c>
      <c r="H55" s="7">
        <v>300</v>
      </c>
      <c r="I55" s="1" t="str">
        <f>HYPERLINK("https://rmda.kulib.kyoto-u.ac.jp/item/rb00002414?page=300")</f>
        <v>https://rmda.kulib.kyoto-u.ac.jp/item/rb00002414?page=300</v>
      </c>
      <c r="J55" s="1" t="s">
        <v>130</v>
      </c>
      <c r="K55" s="1"/>
      <c r="L55" s="1">
        <v>271</v>
      </c>
      <c r="M55" s="1" t="str">
        <f>HYPERLINK("https://rmda.kulib.kyoto-u.ac.jp/item/rb00000334?page=271")</f>
        <v>https://rmda.kulib.kyoto-u.ac.jp/item/rb00000334?page=271</v>
      </c>
      <c r="N55" s="1">
        <v>217</v>
      </c>
      <c r="O55" s="1" t="str">
        <f>HYPERLINK("https://rmda.kulib.kyoto-u.ac.jp/item/rb00000296?page=217")</f>
        <v>https://rmda.kulib.kyoto-u.ac.jp/item/rb00000296?page=217</v>
      </c>
      <c r="P55" s="1">
        <v>641</v>
      </c>
      <c r="Q55" s="1" t="str">
        <f>HYPERLINK("https://rmda.kulib.kyoto-u.ac.jp/item/rb00002410?page=641")</f>
        <v>https://rmda.kulib.kyoto-u.ac.jp/item/rb00002410?page=641</v>
      </c>
      <c r="R55" t="s">
        <v>131</v>
      </c>
    </row>
    <row r="56" spans="1:18" x14ac:dyDescent="0.4">
      <c r="A56" s="1" t="s">
        <v>48</v>
      </c>
      <c r="B56" s="1">
        <v>218</v>
      </c>
      <c r="C56" s="9" t="str">
        <f>HYPERLINK("https://rmda.kulib.kyoto-u.ac.jp/item/rb00002950?page=218")</f>
        <v>https://rmda.kulib.kyoto-u.ac.jp/item/rb00002950?page=218</v>
      </c>
      <c r="D56" s="1">
        <v>449</v>
      </c>
      <c r="E56" s="1" t="str">
        <f>HYPERLINK("https://kokusho.nijl.ac.jp/biblio/200010570/449")</f>
        <v>https://kokusho.nijl.ac.jp/biblio/200010570/449</v>
      </c>
      <c r="F56" s="1">
        <v>47</v>
      </c>
      <c r="G56" s="1" t="str">
        <f>HYPERLINK("https://www.digital.archives.go.jp/img/4416054/47")</f>
        <v>https://www.digital.archives.go.jp/img/4416054/47</v>
      </c>
      <c r="H56" s="7">
        <v>304</v>
      </c>
      <c r="I56" s="1" t="str">
        <f>HYPERLINK("https://rmda.kulib.kyoto-u.ac.jp/item/rb00002414?page=304")</f>
        <v>https://rmda.kulib.kyoto-u.ac.jp/item/rb00002414?page=304</v>
      </c>
      <c r="J56" s="1" t="s">
        <v>130</v>
      </c>
      <c r="K56" s="1"/>
      <c r="L56" s="1">
        <v>276</v>
      </c>
      <c r="M56" s="1" t="str">
        <f>HYPERLINK("https://rmda.kulib.kyoto-u.ac.jp/item/rb00000334?page=276")</f>
        <v>https://rmda.kulib.kyoto-u.ac.jp/item/rb00000334?page=276</v>
      </c>
      <c r="N56" s="1">
        <v>220</v>
      </c>
      <c r="O56" s="1" t="str">
        <f>HYPERLINK("https://rmda.kulib.kyoto-u.ac.jp/item/rb00000296?page=220")</f>
        <v>https://rmda.kulib.kyoto-u.ac.jp/item/rb00000296?page=220</v>
      </c>
      <c r="P56" s="1">
        <v>654</v>
      </c>
      <c r="Q56" s="1" t="str">
        <f>HYPERLINK("https://rmda.kulib.kyoto-u.ac.jp/item/rb00002410?page=654")</f>
        <v>https://rmda.kulib.kyoto-u.ac.jp/item/rb00002410?page=654</v>
      </c>
      <c r="R56" t="s">
        <v>131</v>
      </c>
    </row>
    <row r="57" spans="1:18" x14ac:dyDescent="0.4">
      <c r="A57" s="1" t="s">
        <v>49</v>
      </c>
      <c r="B57" s="1">
        <v>221</v>
      </c>
      <c r="C57" s="9" t="str">
        <f>HYPERLINK("https://rmda.kulib.kyoto-u.ac.jp/item/rb00002950?page=221")</f>
        <v>https://rmda.kulib.kyoto-u.ac.jp/item/rb00002950?page=221</v>
      </c>
      <c r="D57" s="1">
        <v>459</v>
      </c>
      <c r="E57" s="1" t="str">
        <f>HYPERLINK("https://kokusho.nijl.ac.jp/biblio/200010570/459")</f>
        <v>https://kokusho.nijl.ac.jp/biblio/200010570/459</v>
      </c>
      <c r="F57" s="1">
        <v>55</v>
      </c>
      <c r="G57" s="1" t="str">
        <f>HYPERLINK("https://www.digital.archives.go.jp/img/4416054/55")</f>
        <v>https://www.digital.archives.go.jp/img/4416054/55</v>
      </c>
      <c r="H57" s="7">
        <v>307</v>
      </c>
      <c r="I57" s="1" t="str">
        <f>HYPERLINK("https://rmda.kulib.kyoto-u.ac.jp/item/rb00002414?page=307")</f>
        <v>https://rmda.kulib.kyoto-u.ac.jp/item/rb00002414?page=307</v>
      </c>
      <c r="J57" s="1" t="s">
        <v>130</v>
      </c>
      <c r="K57" s="1"/>
      <c r="L57" s="1">
        <v>281</v>
      </c>
      <c r="M57" s="1" t="str">
        <f>HYPERLINK("https://rmda.kulib.kyoto-u.ac.jp/item/rb00000334?page=281")</f>
        <v>https://rmda.kulib.kyoto-u.ac.jp/item/rb00000334?page=281</v>
      </c>
      <c r="N57" s="1">
        <v>229</v>
      </c>
      <c r="O57" s="1" t="str">
        <f>HYPERLINK("https://rmda.kulib.kyoto-u.ac.jp/item/rb00000296?page=229")</f>
        <v>https://rmda.kulib.kyoto-u.ac.jp/item/rb00000296?page=229</v>
      </c>
      <c r="P57" s="1">
        <v>670</v>
      </c>
      <c r="Q57" s="1" t="str">
        <f>HYPERLINK("https://rmda.kulib.kyoto-u.ac.jp/item/rb00002410?page=670")</f>
        <v>https://rmda.kulib.kyoto-u.ac.jp/item/rb00002410?page=670</v>
      </c>
      <c r="R57" t="s">
        <v>131</v>
      </c>
    </row>
    <row r="58" spans="1:18" x14ac:dyDescent="0.4">
      <c r="A58" s="1" t="s">
        <v>50</v>
      </c>
      <c r="B58" s="1">
        <v>225</v>
      </c>
      <c r="C58" s="9" t="str">
        <f>HYPERLINK("https://rmda.kulib.kyoto-u.ac.jp/item/rb00002950?page=225")</f>
        <v>https://rmda.kulib.kyoto-u.ac.jp/item/rb00002950?page=225</v>
      </c>
      <c r="D58" s="1">
        <v>469</v>
      </c>
      <c r="E58" s="1" t="str">
        <f>HYPERLINK("https://kokusho.nijl.ac.jp/biblio/200010570/469")</f>
        <v>https://kokusho.nijl.ac.jp/biblio/200010570/469</v>
      </c>
      <c r="F58" s="1">
        <v>2</v>
      </c>
      <c r="G58" s="1" t="str">
        <f>HYPERLINK("https://www.digital.archives.go.jp/img/4416055/2")</f>
        <v>https://www.digital.archives.go.jp/img/4416055/2</v>
      </c>
      <c r="H58" s="7">
        <v>308</v>
      </c>
      <c r="I58" s="1" t="str">
        <f>HYPERLINK("https://rmda.kulib.kyoto-u.ac.jp/item/rb00002414?page=308")</f>
        <v>https://rmda.kulib.kyoto-u.ac.jp/item/rb00002414?page=308</v>
      </c>
      <c r="J58" s="1" t="s">
        <v>130</v>
      </c>
      <c r="K58" s="1"/>
      <c r="L58" s="1">
        <v>286</v>
      </c>
      <c r="M58" s="1" t="str">
        <f>HYPERLINK("https://rmda.kulib.kyoto-u.ac.jp/item/rb00000334?page=286")</f>
        <v>https://rmda.kulib.kyoto-u.ac.jp/item/rb00000334?page=286</v>
      </c>
      <c r="N58" s="1">
        <v>235</v>
      </c>
      <c r="O58" s="1" t="str">
        <f>HYPERLINK("https://rmda.kulib.kyoto-u.ac.jp/item/rb00000296?page=235")</f>
        <v>https://rmda.kulib.kyoto-u.ac.jp/item/rb00000296?page=235</v>
      </c>
      <c r="P58" s="1">
        <v>689</v>
      </c>
      <c r="Q58" s="1" t="str">
        <f>HYPERLINK("https://rmda.kulib.kyoto-u.ac.jp/item/rb00002410?page=689")</f>
        <v>https://rmda.kulib.kyoto-u.ac.jp/item/rb00002410?page=689</v>
      </c>
      <c r="R58" t="s">
        <v>131</v>
      </c>
    </row>
    <row r="59" spans="1:18" x14ac:dyDescent="0.4">
      <c r="A59" s="1" t="s">
        <v>51</v>
      </c>
      <c r="B59" s="1">
        <v>226</v>
      </c>
      <c r="C59" s="9" t="str">
        <f>HYPERLINK("https://rmda.kulib.kyoto-u.ac.jp/item/rb00002950?page=226")</f>
        <v>https://rmda.kulib.kyoto-u.ac.jp/item/rb00002950?page=226</v>
      </c>
      <c r="D59" s="1">
        <v>471</v>
      </c>
      <c r="E59" s="1" t="str">
        <f>HYPERLINK("https://kokusho.nijl.ac.jp/biblio/200010570/471")</f>
        <v>https://kokusho.nijl.ac.jp/biblio/200010570/471</v>
      </c>
      <c r="F59" s="1">
        <v>4</v>
      </c>
      <c r="G59" s="1" t="str">
        <f>HYPERLINK("https://www.digital.archives.go.jp/img/4416055/4")</f>
        <v>https://www.digital.archives.go.jp/img/4416055/4</v>
      </c>
      <c r="H59" s="7">
        <v>310</v>
      </c>
      <c r="I59" s="1" t="str">
        <f>HYPERLINK("https://rmda.kulib.kyoto-u.ac.jp/item/rb00002414?page=310")</f>
        <v>https://rmda.kulib.kyoto-u.ac.jp/item/rb00002414?page=310</v>
      </c>
      <c r="J59" s="1" t="s">
        <v>130</v>
      </c>
      <c r="K59" s="1"/>
      <c r="L59" s="1">
        <v>287</v>
      </c>
      <c r="M59" s="1" t="str">
        <f>HYPERLINK("https://rmda.kulib.kyoto-u.ac.jp/item/rb00000334?page=287")</f>
        <v>https://rmda.kulib.kyoto-u.ac.jp/item/rb00000334?page=287</v>
      </c>
      <c r="N59" s="1">
        <v>235</v>
      </c>
      <c r="O59" s="1" t="str">
        <f>HYPERLINK("https://rmda.kulib.kyoto-u.ac.jp/item/rb00000296?page=235")</f>
        <v>https://rmda.kulib.kyoto-u.ac.jp/item/rb00000296?page=235</v>
      </c>
      <c r="P59" s="1">
        <v>693</v>
      </c>
      <c r="Q59" s="1" t="str">
        <f>HYPERLINK("https://rmda.kulib.kyoto-u.ac.jp/item/rb00002410?page=693")</f>
        <v>https://rmda.kulib.kyoto-u.ac.jp/item/rb00002410?page=693</v>
      </c>
      <c r="R59" t="s">
        <v>131</v>
      </c>
    </row>
    <row r="60" spans="1:18" x14ac:dyDescent="0.4">
      <c r="A60" s="1" t="s">
        <v>52</v>
      </c>
      <c r="B60" s="1">
        <v>227</v>
      </c>
      <c r="C60" s="9" t="str">
        <f>HYPERLINK("https://rmda.kulib.kyoto-u.ac.jp/item/rb00002950?page=227")</f>
        <v>https://rmda.kulib.kyoto-u.ac.jp/item/rb00002950?page=227</v>
      </c>
      <c r="D60" s="1">
        <v>472</v>
      </c>
      <c r="E60" s="1" t="str">
        <f>HYPERLINK("https://kokusho.nijl.ac.jp/biblio/200010570/472")</f>
        <v>https://kokusho.nijl.ac.jp/biblio/200010570/472</v>
      </c>
      <c r="F60" s="1">
        <v>5</v>
      </c>
      <c r="G60" s="1" t="str">
        <f>HYPERLINK("https://www.digital.archives.go.jp/img/4416055/5")</f>
        <v>https://www.digital.archives.go.jp/img/4416055/5</v>
      </c>
      <c r="H60" s="7">
        <v>311</v>
      </c>
      <c r="I60" s="1" t="str">
        <f>HYPERLINK("https://rmda.kulib.kyoto-u.ac.jp/item/rb00002414?page=311")</f>
        <v>https://rmda.kulib.kyoto-u.ac.jp/item/rb00002414?page=311</v>
      </c>
      <c r="J60" s="1" t="s">
        <v>130</v>
      </c>
      <c r="K60" s="1"/>
      <c r="L60" s="1">
        <v>287</v>
      </c>
      <c r="M60" s="1" t="str">
        <f>HYPERLINK("https://rmda.kulib.kyoto-u.ac.jp/item/rb00000334?page=287")</f>
        <v>https://rmda.kulib.kyoto-u.ac.jp/item/rb00000334?page=287</v>
      </c>
      <c r="N60" s="1">
        <v>236</v>
      </c>
      <c r="O60" s="1" t="str">
        <f>HYPERLINK("https://rmda.kulib.kyoto-u.ac.jp/item/rb00000296?page=236")</f>
        <v>https://rmda.kulib.kyoto-u.ac.jp/item/rb00000296?page=236</v>
      </c>
      <c r="P60" s="1">
        <v>695</v>
      </c>
      <c r="Q60" s="1" t="str">
        <f>HYPERLINK("https://rmda.kulib.kyoto-u.ac.jp/item/rb00002410?page=695")</f>
        <v>https://rmda.kulib.kyoto-u.ac.jp/item/rb00002410?page=695</v>
      </c>
      <c r="R60" t="s">
        <v>131</v>
      </c>
    </row>
    <row r="61" spans="1:18" x14ac:dyDescent="0.4">
      <c r="A61" s="1" t="s">
        <v>53</v>
      </c>
      <c r="B61" s="1">
        <v>229</v>
      </c>
      <c r="C61" s="9" t="str">
        <f>HYPERLINK("https://rmda.kulib.kyoto-u.ac.jp/item/rb00002950?page=229")</f>
        <v>https://rmda.kulib.kyoto-u.ac.jp/item/rb00002950?page=229</v>
      </c>
      <c r="D61" s="1">
        <v>481</v>
      </c>
      <c r="E61" s="1" t="str">
        <f>HYPERLINK("https://kokusho.nijl.ac.jp/biblio/200010570/481")</f>
        <v>https://kokusho.nijl.ac.jp/biblio/200010570/481</v>
      </c>
      <c r="F61" s="1">
        <v>11</v>
      </c>
      <c r="G61" s="1" t="str">
        <f>HYPERLINK("https://www.digital.archives.go.jp/img/4416055/11")</f>
        <v>https://www.digital.archives.go.jp/img/4416055/11</v>
      </c>
      <c r="H61" s="7">
        <v>315</v>
      </c>
      <c r="I61" s="1" t="str">
        <f>HYPERLINK("https://rmda.kulib.kyoto-u.ac.jp/item/rb00002414?page=315")</f>
        <v>https://rmda.kulib.kyoto-u.ac.jp/item/rb00002414?page=315</v>
      </c>
      <c r="J61" s="1" t="s">
        <v>130</v>
      </c>
      <c r="K61" s="1"/>
      <c r="L61" s="1">
        <v>290</v>
      </c>
      <c r="M61" s="1" t="str">
        <f>HYPERLINK("https://rmda.kulib.kyoto-u.ac.jp/item/rb00000334?page=290")</f>
        <v>https://rmda.kulib.kyoto-u.ac.jp/item/rb00000334?page=290</v>
      </c>
      <c r="N61" s="1">
        <v>238</v>
      </c>
      <c r="O61" s="1" t="str">
        <f>HYPERLINK("https://rmda.kulib.kyoto-u.ac.jp/item/rb00000296?page=238")</f>
        <v>https://rmda.kulib.kyoto-u.ac.jp/item/rb00000296?page=238</v>
      </c>
      <c r="P61" s="1">
        <v>707</v>
      </c>
      <c r="Q61" s="1" t="str">
        <f>HYPERLINK("https://rmda.kulib.kyoto-u.ac.jp/item/rb00002410?page=707")</f>
        <v>https://rmda.kulib.kyoto-u.ac.jp/item/rb00002410?page=707</v>
      </c>
      <c r="R61" t="s">
        <v>131</v>
      </c>
    </row>
    <row r="62" spans="1:18" x14ac:dyDescent="0.4">
      <c r="A62" s="1" t="s">
        <v>54</v>
      </c>
      <c r="B62" s="1">
        <v>230</v>
      </c>
      <c r="C62" s="9" t="str">
        <f>HYPERLINK("https://rmda.kulib.kyoto-u.ac.jp/item/rb00002950?page=230")</f>
        <v>https://rmda.kulib.kyoto-u.ac.jp/item/rb00002950?page=230</v>
      </c>
      <c r="D62" s="1">
        <v>484</v>
      </c>
      <c r="E62" s="1" t="str">
        <f>HYPERLINK("https://kokusho.nijl.ac.jp/biblio/200010570/484")</f>
        <v>https://kokusho.nijl.ac.jp/biblio/200010570/484</v>
      </c>
      <c r="F62" s="1">
        <v>13</v>
      </c>
      <c r="G62" s="1" t="str">
        <f>HYPERLINK("https://www.digital.archives.go.jp/img/4416055/13")</f>
        <v>https://www.digital.archives.go.jp/img/4416055/13</v>
      </c>
      <c r="H62" s="7">
        <v>317</v>
      </c>
      <c r="I62" s="1" t="str">
        <f>HYPERLINK("https://rmda.kulib.kyoto-u.ac.jp/item/rb00002414?page=317")</f>
        <v>https://rmda.kulib.kyoto-u.ac.jp/item/rb00002414?page=317</v>
      </c>
      <c r="J62" s="1" t="s">
        <v>130</v>
      </c>
      <c r="K62" s="1"/>
      <c r="L62" s="1">
        <v>292</v>
      </c>
      <c r="M62" s="1" t="str">
        <f>HYPERLINK("https://rmda.kulib.kyoto-u.ac.jp/item/rb00000334?page=292")</f>
        <v>https://rmda.kulib.kyoto-u.ac.jp/item/rb00000334?page=292</v>
      </c>
      <c r="N62" s="1">
        <v>239</v>
      </c>
      <c r="O62" s="1" t="str">
        <f>HYPERLINK("https://rmda.kulib.kyoto-u.ac.jp/item/rb00000296?page=239")</f>
        <v>https://rmda.kulib.kyoto-u.ac.jp/item/rb00000296?page=239</v>
      </c>
      <c r="P62" s="1">
        <v>712</v>
      </c>
      <c r="Q62" s="1" t="str">
        <f>HYPERLINK("https://rmda.kulib.kyoto-u.ac.jp/item/rb00002410?page=712")</f>
        <v>https://rmda.kulib.kyoto-u.ac.jp/item/rb00002410?page=712</v>
      </c>
      <c r="R62" t="s">
        <v>131</v>
      </c>
    </row>
    <row r="63" spans="1:18" x14ac:dyDescent="0.4">
      <c r="A63" s="1" t="s">
        <v>55</v>
      </c>
      <c r="B63" s="1">
        <v>233</v>
      </c>
      <c r="C63" s="9" t="str">
        <f>HYPERLINK("https://rmda.kulib.kyoto-u.ac.jp/item/rb00002950?page=233")</f>
        <v>https://rmda.kulib.kyoto-u.ac.jp/item/rb00002950?page=233</v>
      </c>
      <c r="D63" s="1">
        <v>492</v>
      </c>
      <c r="E63" s="1" t="str">
        <f>HYPERLINK("https://kokusho.nijl.ac.jp/biblio/200010570/492")</f>
        <v>https://kokusho.nijl.ac.jp/biblio/200010570/492</v>
      </c>
      <c r="F63" s="1">
        <v>18</v>
      </c>
      <c r="G63" s="1" t="str">
        <f>HYPERLINK("https://www.digital.archives.go.jp/img/4416055/18")</f>
        <v>https://www.digital.archives.go.jp/img/4416055/18</v>
      </c>
      <c r="H63" s="7">
        <v>324</v>
      </c>
      <c r="I63" s="1" t="str">
        <f>HYPERLINK("https://rmda.kulib.kyoto-u.ac.jp/item/rb00002414?page=324")</f>
        <v>https://rmda.kulib.kyoto-u.ac.jp/item/rb00002414?page=324</v>
      </c>
      <c r="J63" s="1" t="s">
        <v>130</v>
      </c>
      <c r="K63" s="1"/>
      <c r="L63" s="1">
        <v>300</v>
      </c>
      <c r="M63" s="1" t="str">
        <f>HYPERLINK("https://rmda.kulib.kyoto-u.ac.jp/item/rb00000334?page=300")</f>
        <v>https://rmda.kulib.kyoto-u.ac.jp/item/rb00000334?page=300</v>
      </c>
      <c r="N63" s="1">
        <v>243</v>
      </c>
      <c r="O63" s="1" t="str">
        <f>HYPERLINK("https://rmda.kulib.kyoto-u.ac.jp/item/rb00000296?page=243")</f>
        <v>https://rmda.kulib.kyoto-u.ac.jp/item/rb00000296?page=243</v>
      </c>
      <c r="P63" s="1">
        <v>722</v>
      </c>
      <c r="Q63" s="1" t="str">
        <f>HYPERLINK("https://rmda.kulib.kyoto-u.ac.jp/item/rb00002410?page=722")</f>
        <v>https://rmda.kulib.kyoto-u.ac.jp/item/rb00002410?page=722</v>
      </c>
      <c r="R63" t="s">
        <v>131</v>
      </c>
    </row>
    <row r="64" spans="1:18" x14ac:dyDescent="0.4">
      <c r="A64" s="1" t="s">
        <v>56</v>
      </c>
      <c r="B64" s="1">
        <v>241</v>
      </c>
      <c r="C64" s="9" t="str">
        <f>HYPERLINK("https://rmda.kulib.kyoto-u.ac.jp/item/rb00002950?page=241")</f>
        <v>https://rmda.kulib.kyoto-u.ac.jp/item/rb00002950?page=241</v>
      </c>
      <c r="D64" s="1">
        <v>497</v>
      </c>
      <c r="E64" s="1" t="str">
        <f>HYPERLINK("https://kokusho.nijl.ac.jp/biblio/200010570/497")</f>
        <v>https://kokusho.nijl.ac.jp/biblio/200010570/497</v>
      </c>
      <c r="F64" s="1">
        <v>22</v>
      </c>
      <c r="G64" s="1" t="str">
        <f>HYPERLINK("https://www.digital.archives.go.jp/img/4416055/22")</f>
        <v>https://www.digital.archives.go.jp/img/4416055/22</v>
      </c>
      <c r="H64" s="7">
        <v>327</v>
      </c>
      <c r="I64" s="1" t="str">
        <f>HYPERLINK("https://rmda.kulib.kyoto-u.ac.jp/item/rb00002414?page=327")</f>
        <v>https://rmda.kulib.kyoto-u.ac.jp/item/rb00002414?page=327</v>
      </c>
      <c r="J64" s="1" t="s">
        <v>130</v>
      </c>
      <c r="K64" s="1"/>
      <c r="L64" s="1">
        <v>303</v>
      </c>
      <c r="M64" s="1" t="str">
        <f>HYPERLINK("https://rmda.kulib.kyoto-u.ac.jp/item/rb00000334?page=303")</f>
        <v>https://rmda.kulib.kyoto-u.ac.jp/item/rb00000334?page=303</v>
      </c>
      <c r="N64" s="1">
        <v>246</v>
      </c>
      <c r="O64" s="1" t="str">
        <f>HYPERLINK("https://rmda.kulib.kyoto-u.ac.jp/item/rb00000296?page=246")</f>
        <v>https://rmda.kulib.kyoto-u.ac.jp/item/rb00000296?page=246</v>
      </c>
      <c r="P64" s="1">
        <v>731</v>
      </c>
      <c r="Q64" s="1" t="str">
        <f>HYPERLINK("https://rmda.kulib.kyoto-u.ac.jp/item/rb00002410?page=731")</f>
        <v>https://rmda.kulib.kyoto-u.ac.jp/item/rb00002410?page=731</v>
      </c>
      <c r="R64" t="s">
        <v>131</v>
      </c>
    </row>
    <row r="65" spans="1:18" x14ac:dyDescent="0.4">
      <c r="A65" s="1" t="s">
        <v>57</v>
      </c>
      <c r="B65" s="1">
        <v>243</v>
      </c>
      <c r="C65" s="9" t="str">
        <f>HYPERLINK("https://rmda.kulib.kyoto-u.ac.jp/item/rb00002950?page=243")</f>
        <v>https://rmda.kulib.kyoto-u.ac.jp/item/rb00002950?page=243</v>
      </c>
      <c r="D65" s="1">
        <v>503</v>
      </c>
      <c r="E65" s="1" t="str">
        <f>HYPERLINK("https://kokusho.nijl.ac.jp/biblio/200010570/503")</f>
        <v>https://kokusho.nijl.ac.jp/biblio/200010570/503</v>
      </c>
      <c r="F65" s="1">
        <v>26</v>
      </c>
      <c r="G65" s="1" t="str">
        <f>HYPERLINK("https://www.digital.archives.go.jp/img/4416055/26")</f>
        <v>https://www.digital.archives.go.jp/img/4416055/26</v>
      </c>
      <c r="H65" s="7">
        <v>329</v>
      </c>
      <c r="I65" s="1" t="str">
        <f>HYPERLINK("https://rmda.kulib.kyoto-u.ac.jp/item/rb00002414?page=329")</f>
        <v>https://rmda.kulib.kyoto-u.ac.jp/item/rb00002414?page=329</v>
      </c>
      <c r="J65" s="1" t="s">
        <v>130</v>
      </c>
      <c r="K65" s="1"/>
      <c r="L65" s="1">
        <v>306</v>
      </c>
      <c r="M65" s="1" t="str">
        <f>HYPERLINK("https://rmda.kulib.kyoto-u.ac.jp/item/rb00000334?page=306")</f>
        <v>https://rmda.kulib.kyoto-u.ac.jp/item/rb00000334?page=306</v>
      </c>
      <c r="N65" s="1">
        <v>250</v>
      </c>
      <c r="O65" s="1" t="str">
        <f>HYPERLINK("https://rmda.kulib.kyoto-u.ac.jp/item/rb00000296?page=250")</f>
        <v>https://rmda.kulib.kyoto-u.ac.jp/item/rb00000296?page=250</v>
      </c>
      <c r="P65" s="1">
        <v>738</v>
      </c>
      <c r="Q65" s="1" t="str">
        <f>HYPERLINK("https://rmda.kulib.kyoto-u.ac.jp/item/rb00002410?page=738")</f>
        <v>https://rmda.kulib.kyoto-u.ac.jp/item/rb00002410?page=738</v>
      </c>
      <c r="R65" t="s">
        <v>131</v>
      </c>
    </row>
    <row r="66" spans="1:18" x14ac:dyDescent="0.4">
      <c r="A66" s="1" t="s">
        <v>58</v>
      </c>
      <c r="B66" s="1">
        <v>243</v>
      </c>
      <c r="C66" s="9" t="str">
        <f>HYPERLINK("https://rmda.kulib.kyoto-u.ac.jp/item/rb00002950?page=243")</f>
        <v>https://rmda.kulib.kyoto-u.ac.jp/item/rb00002950?page=243</v>
      </c>
      <c r="D66" s="1">
        <v>504</v>
      </c>
      <c r="E66" s="1" t="str">
        <f>HYPERLINK("https://kokusho.nijl.ac.jp/biblio/200010570/504")</f>
        <v>https://kokusho.nijl.ac.jp/biblio/200010570/504</v>
      </c>
      <c r="F66" s="1">
        <v>27</v>
      </c>
      <c r="G66" s="1" t="str">
        <f>HYPERLINK("https://www.digital.archives.go.jp/img/4416055/27")</f>
        <v>https://www.digital.archives.go.jp/img/4416055/27</v>
      </c>
      <c r="H66" s="7">
        <v>331</v>
      </c>
      <c r="I66" s="1" t="str">
        <f>HYPERLINK("https://rmda.kulib.kyoto-u.ac.jp/item/rb00002414?page=331")</f>
        <v>https://rmda.kulib.kyoto-u.ac.jp/item/rb00002414?page=331</v>
      </c>
      <c r="J66" s="1" t="s">
        <v>130</v>
      </c>
      <c r="K66" s="1"/>
      <c r="L66" s="1">
        <v>307</v>
      </c>
      <c r="M66" s="1" t="str">
        <f>HYPERLINK("https://rmda.kulib.kyoto-u.ac.jp/item/rb00000334?page=307")</f>
        <v>https://rmda.kulib.kyoto-u.ac.jp/item/rb00000334?page=307</v>
      </c>
      <c r="N66" s="1">
        <v>251</v>
      </c>
      <c r="O66" s="1" t="str">
        <f>HYPERLINK("https://rmda.kulib.kyoto-u.ac.jp/item/rb00000296?page=251")</f>
        <v>https://rmda.kulib.kyoto-u.ac.jp/item/rb00000296?page=251</v>
      </c>
      <c r="P66" s="1">
        <v>740</v>
      </c>
      <c r="Q66" s="1" t="str">
        <f>HYPERLINK("https://rmda.kulib.kyoto-u.ac.jp/item/rb00002410?page=740")</f>
        <v>https://rmda.kulib.kyoto-u.ac.jp/item/rb00002410?page=740</v>
      </c>
      <c r="R66" t="s">
        <v>131</v>
      </c>
    </row>
    <row r="67" spans="1:18" x14ac:dyDescent="0.4">
      <c r="A67" s="1" t="s">
        <v>59</v>
      </c>
      <c r="B67" s="1">
        <v>251</v>
      </c>
      <c r="C67" s="9" t="str">
        <f>HYPERLINK("https://rmda.kulib.kyoto-u.ac.jp/item/rb00002950?page=251")</f>
        <v>https://rmda.kulib.kyoto-u.ac.jp/item/rb00002950?page=251</v>
      </c>
      <c r="D67" s="1">
        <v>517</v>
      </c>
      <c r="E67" s="1" t="str">
        <f>HYPERLINK("https://kokusho.nijl.ac.jp/biblio/200010570/517")</f>
        <v>https://kokusho.nijl.ac.jp/biblio/200010570/517</v>
      </c>
      <c r="F67" s="1">
        <v>36</v>
      </c>
      <c r="G67" s="1" t="str">
        <f>HYPERLINK("https://www.digital.archives.go.jp/img/4416055/36")</f>
        <v>https://www.digital.archives.go.jp/img/4416055/36</v>
      </c>
      <c r="H67" s="7">
        <v>333</v>
      </c>
      <c r="I67" s="1" t="str">
        <f>HYPERLINK("https://rmda.kulib.kyoto-u.ac.jp/item/rb00002414?page=333")</f>
        <v>https://rmda.kulib.kyoto-u.ac.jp/item/rb00002414?page=333</v>
      </c>
      <c r="J67" s="1" t="s">
        <v>130</v>
      </c>
      <c r="K67" s="1"/>
      <c r="L67" s="1">
        <v>312</v>
      </c>
      <c r="M67" s="1" t="str">
        <f>HYPERLINK("https://rmda.kulib.kyoto-u.ac.jp/item/rb00000334?page=312")</f>
        <v>https://rmda.kulib.kyoto-u.ac.jp/item/rb00000334?page=312</v>
      </c>
      <c r="N67" s="1">
        <v>255</v>
      </c>
      <c r="O67" s="1" t="str">
        <f>HYPERLINK("https://rmda.kulib.kyoto-u.ac.jp/item/rb00000296?page=255")</f>
        <v>https://rmda.kulib.kyoto-u.ac.jp/item/rb00000296?page=255</v>
      </c>
      <c r="P67" s="1">
        <v>757</v>
      </c>
      <c r="Q67" s="1" t="str">
        <f>HYPERLINK("https://rmda.kulib.kyoto-u.ac.jp/item/rb00002410?page=757")</f>
        <v>https://rmda.kulib.kyoto-u.ac.jp/item/rb00002410?page=757</v>
      </c>
      <c r="R67" t="s">
        <v>131</v>
      </c>
    </row>
    <row r="68" spans="1:18" x14ac:dyDescent="0.4">
      <c r="A68" s="1" t="s">
        <v>60</v>
      </c>
      <c r="B68" s="1">
        <v>260</v>
      </c>
      <c r="C68" s="9" t="str">
        <f>HYPERLINK("https://rmda.kulib.kyoto-u.ac.jp/item/rb00002950?page=260")</f>
        <v>https://rmda.kulib.kyoto-u.ac.jp/item/rb00002950?page=260</v>
      </c>
      <c r="D68" s="1">
        <v>531</v>
      </c>
      <c r="E68" s="1" t="str">
        <f>HYPERLINK("https://kokusho.nijl.ac.jp/biblio/200010570/531")</f>
        <v>https://kokusho.nijl.ac.jp/biblio/200010570/531</v>
      </c>
      <c r="F68" s="1">
        <v>44</v>
      </c>
      <c r="G68" s="1" t="str">
        <f>HYPERLINK("https://www.digital.archives.go.jp/img/4416055/44")</f>
        <v>https://www.digital.archives.go.jp/img/4416055/44</v>
      </c>
      <c r="H68" s="7">
        <v>334</v>
      </c>
      <c r="I68" s="1" t="str">
        <f>HYPERLINK("https://rmda.kulib.kyoto-u.ac.jp/item/rb00002414?page=334")</f>
        <v>https://rmda.kulib.kyoto-u.ac.jp/item/rb00002414?page=334</v>
      </c>
      <c r="J68" s="1" t="s">
        <v>130</v>
      </c>
      <c r="K68" s="1"/>
      <c r="L68" s="1">
        <v>318</v>
      </c>
      <c r="M68" s="1" t="str">
        <f>HYPERLINK("https://rmda.kulib.kyoto-u.ac.jp/item/rb00000334?page=318")</f>
        <v>https://rmda.kulib.kyoto-u.ac.jp/item/rb00000334?page=318</v>
      </c>
      <c r="N68" s="1">
        <v>261</v>
      </c>
      <c r="O68" s="1" t="str">
        <f>HYPERLINK("https://rmda.kulib.kyoto-u.ac.jp/item/rb00000296?page=261")</f>
        <v>https://rmda.kulib.kyoto-u.ac.jp/item/rb00000296?page=261</v>
      </c>
      <c r="P68" s="1">
        <v>777</v>
      </c>
      <c r="Q68" s="1" t="str">
        <f>HYPERLINK("https://rmda.kulib.kyoto-u.ac.jp/item/rb00002410?page=777")</f>
        <v>https://rmda.kulib.kyoto-u.ac.jp/item/rb00002410?page=777</v>
      </c>
      <c r="R68" t="s">
        <v>131</v>
      </c>
    </row>
    <row r="69" spans="1:18" x14ac:dyDescent="0.4">
      <c r="A69" s="1" t="s">
        <v>61</v>
      </c>
      <c r="B69" s="1">
        <v>265</v>
      </c>
      <c r="C69" s="9" t="str">
        <f>HYPERLINK("https://rmda.kulib.kyoto-u.ac.jp/item/rb00002950?page=265")</f>
        <v>https://rmda.kulib.kyoto-u.ac.jp/item/rb00002950?page=265</v>
      </c>
      <c r="D69" s="1">
        <v>543</v>
      </c>
      <c r="E69" s="1" t="str">
        <f>HYPERLINK("https://kokusho.nijl.ac.jp/biblio/200010570/543")</f>
        <v>https://kokusho.nijl.ac.jp/biblio/200010570/543</v>
      </c>
      <c r="F69" s="1">
        <v>53</v>
      </c>
      <c r="G69" s="1" t="str">
        <f>HYPERLINK("https://www.digital.archives.go.jp/img/4416055/53")</f>
        <v>https://www.digital.archives.go.jp/img/4416055/53</v>
      </c>
      <c r="H69" s="7">
        <v>338</v>
      </c>
      <c r="I69" s="1" t="str">
        <f>HYPERLINK("https://rmda.kulib.kyoto-u.ac.jp/item/rb00002414?page=338")</f>
        <v>https://rmda.kulib.kyoto-u.ac.jp/item/rb00002414?page=338</v>
      </c>
      <c r="J69" s="1" t="s">
        <v>130</v>
      </c>
      <c r="K69" s="1"/>
      <c r="L69" s="1">
        <v>325</v>
      </c>
      <c r="M69" s="1" t="str">
        <f>HYPERLINK("https://rmda.kulib.kyoto-u.ac.jp/item/rb00000334?page=325")</f>
        <v>https://rmda.kulib.kyoto-u.ac.jp/item/rb00000334?page=325</v>
      </c>
      <c r="N69" s="1">
        <v>267</v>
      </c>
      <c r="O69" s="1" t="str">
        <f>HYPERLINK("https://rmda.kulib.kyoto-u.ac.jp/item/rb00000296?page=267")</f>
        <v>https://rmda.kulib.kyoto-u.ac.jp/item/rb00000296?page=267</v>
      </c>
      <c r="P69" s="1">
        <v>803</v>
      </c>
      <c r="Q69" s="1" t="str">
        <f>HYPERLINK("https://rmda.kulib.kyoto-u.ac.jp/item/rb00002410?page=803")</f>
        <v>https://rmda.kulib.kyoto-u.ac.jp/item/rb00002410?page=803</v>
      </c>
      <c r="R69" t="s">
        <v>131</v>
      </c>
    </row>
    <row r="70" spans="1:18" x14ac:dyDescent="0.4">
      <c r="A70" s="1" t="s">
        <v>62</v>
      </c>
      <c r="B70" s="1">
        <v>271</v>
      </c>
      <c r="C70" s="9" t="str">
        <f>HYPERLINK("https://rmda.kulib.kyoto-u.ac.jp/item/rb00002950?page=271")</f>
        <v>https://rmda.kulib.kyoto-u.ac.jp/item/rb00002950?page=271</v>
      </c>
      <c r="D70" s="1">
        <v>550</v>
      </c>
      <c r="E70" s="1" t="str">
        <f>HYPERLINK("https://kokusho.nijl.ac.jp/biblio/200010570/550")</f>
        <v>https://kokusho.nijl.ac.jp/biblio/200010570/550</v>
      </c>
      <c r="F70" s="1">
        <v>59</v>
      </c>
      <c r="G70" s="1" t="str">
        <f>HYPERLINK("https://www.digital.archives.go.jp/img/4416055/59")</f>
        <v>https://www.digital.archives.go.jp/img/4416055/59</v>
      </c>
      <c r="H70" s="7">
        <v>341</v>
      </c>
      <c r="I70" s="1" t="str">
        <f>HYPERLINK("https://rmda.kulib.kyoto-u.ac.jp/item/rb00002414?page=341")</f>
        <v>https://rmda.kulib.kyoto-u.ac.jp/item/rb00002414?page=341</v>
      </c>
      <c r="J70" s="1" t="s">
        <v>130</v>
      </c>
      <c r="K70" s="1"/>
      <c r="L70" s="1">
        <v>330</v>
      </c>
      <c r="M70" s="1" t="str">
        <f>HYPERLINK("https://rmda.kulib.kyoto-u.ac.jp/item/rb00000334?page=330")</f>
        <v>https://rmda.kulib.kyoto-u.ac.jp/item/rb00000334?page=330</v>
      </c>
      <c r="N70" s="1">
        <v>271</v>
      </c>
      <c r="O70" s="1" t="str">
        <f>HYPERLINK("https://rmda.kulib.kyoto-u.ac.jp/item/rb00000296?page=271")</f>
        <v>https://rmda.kulib.kyoto-u.ac.jp/item/rb00000296?page=271</v>
      </c>
      <c r="P70" s="1">
        <v>814</v>
      </c>
      <c r="Q70" s="1" t="str">
        <f>HYPERLINK("https://rmda.kulib.kyoto-u.ac.jp/item/rb00002410?page=814")</f>
        <v>https://rmda.kulib.kyoto-u.ac.jp/item/rb00002410?page=814</v>
      </c>
      <c r="R70" t="s">
        <v>131</v>
      </c>
    </row>
    <row r="71" spans="1:18" x14ac:dyDescent="0.4">
      <c r="A71" s="1" t="s">
        <v>63</v>
      </c>
      <c r="B71" s="1">
        <v>279</v>
      </c>
      <c r="C71" s="9" t="str">
        <f>HYPERLINK("https://rmda.kulib.kyoto-u.ac.jp/item/rb00002950?page=279")</f>
        <v>https://rmda.kulib.kyoto-u.ac.jp/item/rb00002950?page=279</v>
      </c>
      <c r="D71" s="1">
        <v>567</v>
      </c>
      <c r="E71" s="1" t="str">
        <f>HYPERLINK("https://kokusho.nijl.ac.jp/biblio/200010570/567")</f>
        <v>https://kokusho.nijl.ac.jp/biblio/200010570/567</v>
      </c>
      <c r="F71" s="1">
        <v>73</v>
      </c>
      <c r="G71" s="1" t="str">
        <f>HYPERLINK("https://www.digital.archives.go.jp/img/4416055/73")</f>
        <v>https://www.digital.archives.go.jp/img/4416055/73</v>
      </c>
      <c r="H71" s="7">
        <v>349</v>
      </c>
      <c r="I71" s="1" t="str">
        <f>HYPERLINK("https://rmda.kulib.kyoto-u.ac.jp/item/rb00002414?page=349")</f>
        <v>https://rmda.kulib.kyoto-u.ac.jp/item/rb00002414?page=349</v>
      </c>
      <c r="J71" s="1" t="s">
        <v>130</v>
      </c>
      <c r="K71" s="1"/>
      <c r="L71" s="1">
        <v>341</v>
      </c>
      <c r="M71" s="1" t="str">
        <f>HYPERLINK("https://rmda.kulib.kyoto-u.ac.jp/item/rb00000334?page=341")</f>
        <v>https://rmda.kulib.kyoto-u.ac.jp/item/rb00000334?page=341</v>
      </c>
      <c r="N71" s="1">
        <v>283</v>
      </c>
      <c r="O71" s="1" t="str">
        <f>HYPERLINK("https://rmda.kulib.kyoto-u.ac.jp/item/rb00000296?page=283")</f>
        <v>https://rmda.kulib.kyoto-u.ac.jp/item/rb00000296?page=283</v>
      </c>
      <c r="P71" s="1">
        <v>839</v>
      </c>
      <c r="Q71" s="1" t="str">
        <f>HYPERLINK("https://rmda.kulib.kyoto-u.ac.jp/item/rb00002410?page=839")</f>
        <v>https://rmda.kulib.kyoto-u.ac.jp/item/rb00002410?page=839</v>
      </c>
      <c r="R71" t="s">
        <v>131</v>
      </c>
    </row>
    <row r="72" spans="1:18" x14ac:dyDescent="0.4">
      <c r="A72" s="1" t="s">
        <v>64</v>
      </c>
      <c r="B72" s="1">
        <v>286</v>
      </c>
      <c r="C72" s="9" t="str">
        <f>HYPERLINK("https://rmda.kulib.kyoto-u.ac.jp/item/rb00002950?page=286")</f>
        <v>https://rmda.kulib.kyoto-u.ac.jp/item/rb00002950?page=286</v>
      </c>
      <c r="D72" s="1">
        <v>583</v>
      </c>
      <c r="E72" s="1" t="str">
        <f>HYPERLINK("https://kokusho.nijl.ac.jp/biblio/200010570/583")</f>
        <v>https://kokusho.nijl.ac.jp/biblio/200010570/583</v>
      </c>
      <c r="F72" s="1">
        <v>85</v>
      </c>
      <c r="G72" s="1" t="str">
        <f>HYPERLINK("https://www.digital.archives.go.jp/img/4416055/85")</f>
        <v>https://www.digital.archives.go.jp/img/4416055/85</v>
      </c>
      <c r="H72" s="7">
        <v>356</v>
      </c>
      <c r="I72" s="1" t="str">
        <f>HYPERLINK("https://rmda.kulib.kyoto-u.ac.jp/item/rb00002414?page=356")</f>
        <v>https://rmda.kulib.kyoto-u.ac.jp/item/rb00002414?page=356</v>
      </c>
      <c r="J72" s="1" t="s">
        <v>130</v>
      </c>
      <c r="K72" s="1"/>
      <c r="L72" s="1">
        <v>351</v>
      </c>
      <c r="M72" s="1" t="str">
        <f>HYPERLINK("https://rmda.kulib.kyoto-u.ac.jp/item/rb00000334?page=351")</f>
        <v>https://rmda.kulib.kyoto-u.ac.jp/item/rb00000334?page=351</v>
      </c>
      <c r="N72" s="1">
        <v>291</v>
      </c>
      <c r="O72" s="1" t="str">
        <f>HYPERLINK("https://rmda.kulib.kyoto-u.ac.jp/item/rb00000296?page=291")</f>
        <v>https://rmda.kulib.kyoto-u.ac.jp/item/rb00000296?page=291</v>
      </c>
      <c r="P72" s="1">
        <v>858</v>
      </c>
      <c r="Q72" s="1" t="str">
        <f>HYPERLINK("https://rmda.kulib.kyoto-u.ac.jp/item/rb00002410?page=858")</f>
        <v>https://rmda.kulib.kyoto-u.ac.jp/item/rb00002410?page=858</v>
      </c>
      <c r="R72" t="s">
        <v>131</v>
      </c>
    </row>
    <row r="73" spans="1:18" x14ac:dyDescent="0.4">
      <c r="A73" s="1" t="s">
        <v>65</v>
      </c>
      <c r="B73" s="1">
        <v>288</v>
      </c>
      <c r="C73" s="9" t="str">
        <f>HYPERLINK("https://rmda.kulib.kyoto-u.ac.jp/item/rb00002950?page=288")</f>
        <v>https://rmda.kulib.kyoto-u.ac.jp/item/rb00002950?page=288</v>
      </c>
      <c r="D73" s="1">
        <v>589</v>
      </c>
      <c r="E73" s="1" t="str">
        <f>HYPERLINK("https://kokusho.nijl.ac.jp/biblio/200010570/589")</f>
        <v>https://kokusho.nijl.ac.jp/biblio/200010570/589</v>
      </c>
      <c r="F73" s="1">
        <v>90</v>
      </c>
      <c r="G73" s="1" t="str">
        <f>HYPERLINK("https://www.digital.archives.go.jp/img/4416055/90")</f>
        <v>https://www.digital.archives.go.jp/img/4416055/90</v>
      </c>
      <c r="H73" s="7">
        <v>359</v>
      </c>
      <c r="I73" s="1" t="str">
        <f>HYPERLINK("https://rmda.kulib.kyoto-u.ac.jp/item/rb00002414?page=359")</f>
        <v>https://rmda.kulib.kyoto-u.ac.jp/item/rb00002414?page=359</v>
      </c>
      <c r="J73" s="1" t="s">
        <v>130</v>
      </c>
      <c r="K73" s="1"/>
      <c r="L73" s="1">
        <v>355</v>
      </c>
      <c r="M73" s="1" t="str">
        <f>HYPERLINK("https://rmda.kulib.kyoto-u.ac.jp/item/rb00000334?page=355")</f>
        <v>https://rmda.kulib.kyoto-u.ac.jp/item/rb00000334?page=355</v>
      </c>
      <c r="N73" s="1">
        <v>291</v>
      </c>
      <c r="O73" s="1" t="str">
        <f>HYPERLINK("https://rmda.kulib.kyoto-u.ac.jp/item/rb00000296?page=291")</f>
        <v>https://rmda.kulib.kyoto-u.ac.jp/item/rb00000296?page=291</v>
      </c>
      <c r="P73" s="1">
        <v>868</v>
      </c>
      <c r="Q73" s="1" t="str">
        <f>HYPERLINK("https://rmda.kulib.kyoto-u.ac.jp/item/rb00002410?page=868")</f>
        <v>https://rmda.kulib.kyoto-u.ac.jp/item/rb00002410?page=868</v>
      </c>
      <c r="R73" t="s">
        <v>131</v>
      </c>
    </row>
    <row r="74" spans="1:18" x14ac:dyDescent="0.4">
      <c r="A74" s="3" t="s">
        <v>66</v>
      </c>
      <c r="B74" s="3">
        <v>294</v>
      </c>
      <c r="C74" s="9" t="str">
        <f>HYPERLINK("https://rmda.kulib.kyoto-u.ac.jp/item/rb00002950?page=294")</f>
        <v>https://rmda.kulib.kyoto-u.ac.jp/item/rb00002950?page=294</v>
      </c>
      <c r="D74" s="3">
        <v>597</v>
      </c>
      <c r="E74" s="1" t="str">
        <f>HYPERLINK("https://kokusho.nijl.ac.jp/biblio/200010570/597")</f>
        <v>https://kokusho.nijl.ac.jp/biblio/200010570/597</v>
      </c>
      <c r="F74" s="1">
        <v>2</v>
      </c>
      <c r="G74" s="1" t="str">
        <f>HYPERLINK("https://www.digital.archives.go.jp/img/4416056/2")</f>
        <v>https://www.digital.archives.go.jp/img/4416056/2</v>
      </c>
      <c r="H74" s="7">
        <v>363</v>
      </c>
      <c r="I74" s="1" t="str">
        <f>HYPERLINK("https://rmda.kulib.kyoto-u.ac.jp/item/rb00002414?page=363")</f>
        <v>https://rmda.kulib.kyoto-u.ac.jp/item/rb00002414?page=363</v>
      </c>
      <c r="J74" s="1" t="s">
        <v>130</v>
      </c>
      <c r="K74" s="1"/>
      <c r="L74" s="1">
        <v>359</v>
      </c>
      <c r="M74" s="1" t="str">
        <f>HYPERLINK("https://rmda.kulib.kyoto-u.ac.jp/item/rb00000334?page=359")</f>
        <v>https://rmda.kulib.kyoto-u.ac.jp/item/rb00000334?page=359</v>
      </c>
      <c r="N74" s="1" t="s">
        <v>131</v>
      </c>
      <c r="O74" s="1"/>
      <c r="P74" s="1"/>
      <c r="Q74" s="1"/>
      <c r="R74" t="s">
        <v>131</v>
      </c>
    </row>
    <row r="75" spans="1:18" x14ac:dyDescent="0.4">
      <c r="A75" s="3" t="s">
        <v>67</v>
      </c>
      <c r="B75" s="3">
        <v>300</v>
      </c>
      <c r="C75" s="9" t="str">
        <f>HYPERLINK("https://rmda.kulib.kyoto-u.ac.jp/item/rb00002950?page=300")</f>
        <v>https://rmda.kulib.kyoto-u.ac.jp/item/rb00002950?page=300</v>
      </c>
      <c r="D75" s="3">
        <v>615</v>
      </c>
      <c r="E75" s="1" t="str">
        <f>HYPERLINK("https://kokusho.nijl.ac.jp/biblio/200010570/615")</f>
        <v>https://kokusho.nijl.ac.jp/biblio/200010570/615</v>
      </c>
      <c r="F75" s="1">
        <v>10</v>
      </c>
      <c r="G75" s="1" t="str">
        <f>HYPERLINK("https://www.digital.archives.go.jp/img/4416056/10")</f>
        <v>https://www.digital.archives.go.jp/img/4416056/10</v>
      </c>
      <c r="H75" s="7">
        <v>371</v>
      </c>
      <c r="I75" s="1" t="str">
        <f>HYPERLINK("https://rmda.kulib.kyoto-u.ac.jp/item/rb00002414?page=371")</f>
        <v>https://rmda.kulib.kyoto-u.ac.jp/item/rb00002414?page=371</v>
      </c>
      <c r="J75" s="1" t="s">
        <v>130</v>
      </c>
      <c r="K75" s="1"/>
      <c r="L75" s="1">
        <v>367</v>
      </c>
      <c r="M75" s="1" t="str">
        <f>HYPERLINK("https://rmda.kulib.kyoto-u.ac.jp/item/rb00000334?page=367")</f>
        <v>https://rmda.kulib.kyoto-u.ac.jp/item/rb00000334?page=367</v>
      </c>
      <c r="N75" s="1" t="s">
        <v>131</v>
      </c>
      <c r="O75" s="1"/>
      <c r="P75" s="1"/>
      <c r="Q75" s="1"/>
      <c r="R75" t="s">
        <v>131</v>
      </c>
    </row>
    <row r="76" spans="1:18" x14ac:dyDescent="0.4">
      <c r="A76" s="3" t="s">
        <v>68</v>
      </c>
      <c r="B76" s="3">
        <v>310</v>
      </c>
      <c r="C76" s="9" t="str">
        <f>HYPERLINK("https://rmda.kulib.kyoto-u.ac.jp/item/rb00002950?page=310")</f>
        <v>https://rmda.kulib.kyoto-u.ac.jp/item/rb00002950?page=310</v>
      </c>
      <c r="D76" s="3">
        <v>640</v>
      </c>
      <c r="E76" s="1" t="str">
        <f>HYPERLINK("https://kokusho.nijl.ac.jp/biblio/200010570/640")</f>
        <v>https://kokusho.nijl.ac.jp/biblio/200010570/640</v>
      </c>
      <c r="F76" s="1">
        <v>26</v>
      </c>
      <c r="G76" s="1" t="str">
        <f>HYPERLINK("https://www.digital.archives.go.jp/img/4416056/26")</f>
        <v>https://www.digital.archives.go.jp/img/4416056/26</v>
      </c>
      <c r="H76" s="7">
        <v>379</v>
      </c>
      <c r="I76" s="1" t="str">
        <f>HYPERLINK("https://rmda.kulib.kyoto-u.ac.jp/item/rb00002414?page=379")</f>
        <v>https://rmda.kulib.kyoto-u.ac.jp/item/rb00002414?page=379</v>
      </c>
      <c r="J76" s="1" t="s">
        <v>130</v>
      </c>
      <c r="K76" s="1"/>
      <c r="L76" s="1">
        <v>375</v>
      </c>
      <c r="M76" s="1" t="str">
        <f>HYPERLINK("https://rmda.kulib.kyoto-u.ac.jp/item/rb00000334?page=375")</f>
        <v>https://rmda.kulib.kyoto-u.ac.jp/item/rb00000334?page=375</v>
      </c>
      <c r="N76" s="1" t="s">
        <v>131</v>
      </c>
      <c r="O76" s="1"/>
      <c r="P76" s="1"/>
      <c r="Q76" s="1"/>
      <c r="R76" t="s">
        <v>131</v>
      </c>
    </row>
    <row r="77" spans="1:18" x14ac:dyDescent="0.4">
      <c r="A77" s="3" t="s">
        <v>69</v>
      </c>
      <c r="B77" s="3">
        <v>320</v>
      </c>
      <c r="C77" s="9" t="str">
        <f>HYPERLINK("https://rmda.kulib.kyoto-u.ac.jp/item/rb00002950?page=320")</f>
        <v>https://rmda.kulib.kyoto-u.ac.jp/item/rb00002950?page=320</v>
      </c>
      <c r="D77" s="3">
        <v>673</v>
      </c>
      <c r="E77" s="1" t="str">
        <f>HYPERLINK("https://kokusho.nijl.ac.jp/biblio/200010570/673")</f>
        <v>https://kokusho.nijl.ac.jp/biblio/200010570/673</v>
      </c>
      <c r="F77" s="1">
        <v>38</v>
      </c>
      <c r="G77" s="1" t="str">
        <f>HYPERLINK("https://www.digital.archives.go.jp/img/4416056/38")</f>
        <v>https://www.digital.archives.go.jp/img/4416056/38</v>
      </c>
      <c r="H77" s="7">
        <v>393</v>
      </c>
      <c r="I77" s="1" t="str">
        <f>HYPERLINK("https://rmda.kulib.kyoto-u.ac.jp/item/rb00002414?page=393")</f>
        <v>https://rmda.kulib.kyoto-u.ac.jp/item/rb00002414?page=393</v>
      </c>
      <c r="J77" s="1" t="s">
        <v>130</v>
      </c>
      <c r="K77" s="1"/>
      <c r="L77" s="1">
        <v>390</v>
      </c>
      <c r="M77" s="1" t="str">
        <f>HYPERLINK("https://rmda.kulib.kyoto-u.ac.jp/item/rb00000334?page=390")</f>
        <v>https://rmda.kulib.kyoto-u.ac.jp/item/rb00000334?page=390</v>
      </c>
      <c r="N77" s="1" t="s">
        <v>131</v>
      </c>
      <c r="O77" s="1"/>
      <c r="P77" s="1"/>
      <c r="Q77" s="1"/>
      <c r="R77" t="s">
        <v>131</v>
      </c>
    </row>
    <row r="78" spans="1:18" x14ac:dyDescent="0.4">
      <c r="A78" s="3" t="s">
        <v>70</v>
      </c>
      <c r="B78" s="3">
        <v>332</v>
      </c>
      <c r="C78" s="9" t="str">
        <f>HYPERLINK("https://rmda.kulib.kyoto-u.ac.jp/item/rb00002950?page=332")</f>
        <v>https://rmda.kulib.kyoto-u.ac.jp/item/rb00002950?page=332</v>
      </c>
      <c r="D78" s="3">
        <v>697</v>
      </c>
      <c r="E78" s="1" t="str">
        <f>HYPERLINK("https://kokusho.nijl.ac.jp/biblio/200010570/697")</f>
        <v>https://kokusho.nijl.ac.jp/biblio/200010570/697</v>
      </c>
      <c r="F78" s="1">
        <v>57</v>
      </c>
      <c r="G78" s="1" t="str">
        <f>HYPERLINK("https://www.digital.archives.go.jp/img/4416056/57")</f>
        <v>https://www.digital.archives.go.jp/img/4416056/57</v>
      </c>
      <c r="H78" s="7">
        <v>402</v>
      </c>
      <c r="I78" s="1" t="str">
        <f>HYPERLINK("https://rmda.kulib.kyoto-u.ac.jp/item/rb00002414?page=402")</f>
        <v>https://rmda.kulib.kyoto-u.ac.jp/item/rb00002414?page=402</v>
      </c>
      <c r="J78" s="1" t="s">
        <v>130</v>
      </c>
      <c r="K78" s="1"/>
      <c r="L78" s="1">
        <v>405</v>
      </c>
      <c r="M78" s="1" t="str">
        <f>HYPERLINK("https://rmda.kulib.kyoto-u.ac.jp/item/rb00000334?page=405")</f>
        <v>https://rmda.kulib.kyoto-u.ac.jp/item/rb00000334?page=405</v>
      </c>
      <c r="N78" s="1" t="s">
        <v>131</v>
      </c>
      <c r="O78" s="1"/>
      <c r="P78" s="1"/>
      <c r="Q78" s="1"/>
      <c r="R78" t="s">
        <v>131</v>
      </c>
    </row>
    <row r="79" spans="1:18" x14ac:dyDescent="0.4">
      <c r="A79" s="3" t="s">
        <v>71</v>
      </c>
      <c r="B79" s="3">
        <v>356</v>
      </c>
      <c r="C79" s="9" t="str">
        <f>HYPERLINK("https://rmda.kulib.kyoto-u.ac.jp/item/rb00002950?page=356")</f>
        <v>https://rmda.kulib.kyoto-u.ac.jp/item/rb00002950?page=356</v>
      </c>
      <c r="D79" s="3">
        <v>739</v>
      </c>
      <c r="E79" s="1" t="str">
        <f>HYPERLINK("https://kokusho.nijl.ac.jp/biblio/200010570/739")</f>
        <v>https://kokusho.nijl.ac.jp/biblio/200010570/739</v>
      </c>
      <c r="F79" s="1">
        <v>2</v>
      </c>
      <c r="G79" s="1" t="str">
        <f>HYPERLINK("https://www.digital.archives.go.jp/img/4416057/2")</f>
        <v>https://www.digital.archives.go.jp/img/4416057/2</v>
      </c>
      <c r="H79" s="7">
        <v>414</v>
      </c>
      <c r="I79" s="1" t="str">
        <f>HYPERLINK("https://rmda.kulib.kyoto-u.ac.jp/item/rb00002414?page=414")</f>
        <v>https://rmda.kulib.kyoto-u.ac.jp/item/rb00002414?page=414</v>
      </c>
      <c r="J79" s="1" t="s">
        <v>130</v>
      </c>
      <c r="K79" s="1"/>
      <c r="L79" s="1">
        <v>431</v>
      </c>
      <c r="M79" s="1" t="str">
        <f>HYPERLINK("https://rmda.kulib.kyoto-u.ac.jp/item/rb00000334?page=431")</f>
        <v>https://rmda.kulib.kyoto-u.ac.jp/item/rb00000334?page=431</v>
      </c>
      <c r="N79" s="1" t="s">
        <v>131</v>
      </c>
      <c r="O79" s="1"/>
      <c r="P79" s="1"/>
      <c r="Q79" s="1"/>
      <c r="R79" t="s">
        <v>131</v>
      </c>
    </row>
    <row r="80" spans="1:18" x14ac:dyDescent="0.4">
      <c r="A80" s="3" t="s">
        <v>72</v>
      </c>
      <c r="B80" s="3" t="s">
        <v>86</v>
      </c>
      <c r="C80" s="9"/>
      <c r="D80" s="3">
        <v>829</v>
      </c>
      <c r="E80" s="1" t="str">
        <f>HYPERLINK("https://kokusho.nijl.ac.jp/biblio/200010570/829")</f>
        <v>https://kokusho.nijl.ac.jp/biblio/200010570/829</v>
      </c>
      <c r="F80" s="1" t="s">
        <v>86</v>
      </c>
      <c r="G80" s="1"/>
      <c r="H80" s="7">
        <v>430</v>
      </c>
      <c r="I80" s="1" t="str">
        <f>HYPERLINK("https://rmda.kulib.kyoto-u.ac.jp/item/rb00002414?page=430")</f>
        <v>https://rmda.kulib.kyoto-u.ac.jp/item/rb00002414?page=430</v>
      </c>
      <c r="J80" s="1" t="s">
        <v>130</v>
      </c>
      <c r="K80" s="1"/>
      <c r="L80" s="1">
        <v>481</v>
      </c>
      <c r="M80" s="1" t="str">
        <f>HYPERLINK("https://rmda.kulib.kyoto-u.ac.jp/item/rb00000334?page=481")</f>
        <v>https://rmda.kulib.kyoto-u.ac.jp/item/rb00000334?page=481</v>
      </c>
      <c r="N80" s="1" t="s">
        <v>131</v>
      </c>
      <c r="O80" s="1"/>
      <c r="P80" s="1"/>
      <c r="Q80" s="1"/>
      <c r="R80" t="s">
        <v>131</v>
      </c>
    </row>
    <row r="81" spans="1:18" x14ac:dyDescent="0.4">
      <c r="A81" s="3" t="s">
        <v>73</v>
      </c>
      <c r="B81" s="3" t="s">
        <v>86</v>
      </c>
      <c r="C81" s="9"/>
      <c r="D81" s="3">
        <v>833</v>
      </c>
      <c r="E81" s="1" t="str">
        <f>HYPERLINK("https://kokusho.nijl.ac.jp/biblio/200010570/833")</f>
        <v>https://kokusho.nijl.ac.jp/biblio/200010570/833</v>
      </c>
      <c r="F81" s="1" t="s">
        <v>86</v>
      </c>
      <c r="G81" s="1"/>
      <c r="H81" s="7">
        <v>437</v>
      </c>
      <c r="I81" s="1" t="str">
        <f>HYPERLINK("https://rmda.kulib.kyoto-u.ac.jp/item/rb00002414?page=437")</f>
        <v>https://rmda.kulib.kyoto-u.ac.jp/item/rb00002414?page=437</v>
      </c>
      <c r="J81" s="1" t="s">
        <v>130</v>
      </c>
      <c r="K81" s="1"/>
      <c r="L81" s="1">
        <v>485</v>
      </c>
      <c r="M81" s="1" t="str">
        <f>HYPERLINK("https://rmda.kulib.kyoto-u.ac.jp/item/rb00000334?page=485")</f>
        <v>https://rmda.kulib.kyoto-u.ac.jp/item/rb00000334?page=485</v>
      </c>
      <c r="N81" s="1" t="s">
        <v>131</v>
      </c>
      <c r="O81" s="1"/>
      <c r="P81" s="1"/>
      <c r="Q81" s="1"/>
      <c r="R81" t="s">
        <v>131</v>
      </c>
    </row>
    <row r="82" spans="1:18" x14ac:dyDescent="0.4">
      <c r="A82" s="3" t="s">
        <v>74</v>
      </c>
      <c r="B82" s="3">
        <v>395</v>
      </c>
      <c r="C82" s="9" t="str">
        <f>HYPERLINK("https://rmda.kulib.kyoto-u.ac.jp/item/rb00002950?page=395")</f>
        <v>https://rmda.kulib.kyoto-u.ac.jp/item/rb00002950?page=395</v>
      </c>
      <c r="D82" s="3">
        <v>833</v>
      </c>
      <c r="E82" s="1" t="str">
        <f>HYPERLINK("https://kokusho.nijl.ac.jp/biblio/200010570/833")</f>
        <v>https://kokusho.nijl.ac.jp/biblio/200010570/833</v>
      </c>
      <c r="F82" s="1">
        <v>2</v>
      </c>
      <c r="G82" s="1" t="str">
        <f>HYPERLINK("https://www.digital.archives.go.jp/img/4416979/2")</f>
        <v>https://www.digital.archives.go.jp/img/4416979/2</v>
      </c>
      <c r="H82" s="7">
        <v>439</v>
      </c>
      <c r="I82" s="9" t="str">
        <f>HYPERLINK("https://rmda.kulib.kyoto-u.ac.jp/item/rb00002414?page=439")</f>
        <v>https://rmda.kulib.kyoto-u.ac.jp/item/rb00002414?page=439</v>
      </c>
      <c r="J82" s="1" t="s">
        <v>130</v>
      </c>
      <c r="K82" s="1"/>
      <c r="L82" s="1">
        <v>485</v>
      </c>
      <c r="M82" s="1" t="str">
        <f>HYPERLINK("https://rmda.kulib.kyoto-u.ac.jp/item/rb00000334?page=485")</f>
        <v>https://rmda.kulib.kyoto-u.ac.jp/item/rb00000334?page=485</v>
      </c>
      <c r="N82" s="1" t="s">
        <v>131</v>
      </c>
      <c r="O82" s="1"/>
      <c r="P82" s="1"/>
      <c r="Q82" s="1"/>
      <c r="R82" t="s">
        <v>131</v>
      </c>
    </row>
    <row r="83" spans="1:18" x14ac:dyDescent="0.4">
      <c r="A83" s="1" t="s">
        <v>75</v>
      </c>
      <c r="B83" s="1">
        <v>426</v>
      </c>
      <c r="C83" s="9" t="str">
        <f>HYPERLINK("https://rmda.kulib.kyoto-u.ac.jp/item/rb00002950?page=426")</f>
        <v>https://rmda.kulib.kyoto-u.ac.jp/item/rb00002950?page=426</v>
      </c>
      <c r="D83" s="1">
        <v>904</v>
      </c>
      <c r="E83" s="1" t="str">
        <f>HYPERLINK("https://kokusho.nijl.ac.jp/biblio/200010570/904")</f>
        <v>https://kokusho.nijl.ac.jp/biblio/200010570/904</v>
      </c>
      <c r="F83" s="1">
        <v>48</v>
      </c>
      <c r="G83" s="1" t="str">
        <f>HYPERLINK("https://www.digital.archives.go.jp/img/4416979/48")</f>
        <v>https://www.digital.archives.go.jp/img/4416979/48</v>
      </c>
      <c r="H83" s="7">
        <v>477</v>
      </c>
      <c r="I83" s="1" t="str">
        <f>HYPERLINK("https://rmda.kulib.kyoto-u.ac.jp/item/rb00002414?page=477")</f>
        <v>https://rmda.kulib.kyoto-u.ac.jp/item/rb00002414?page=477</v>
      </c>
      <c r="J83" s="1" t="s">
        <v>130</v>
      </c>
      <c r="K83" s="1"/>
      <c r="L83" s="1">
        <v>531</v>
      </c>
      <c r="M83" s="1" t="str">
        <f>HYPERLINK("https://rmda.kulib.kyoto-u.ac.jp/item/rb00000334?page=531")</f>
        <v>https://rmda.kulib.kyoto-u.ac.jp/item/rb00000334?page=531</v>
      </c>
      <c r="N83" s="1">
        <v>291</v>
      </c>
      <c r="O83" s="1" t="str">
        <f t="shared" ref="O83:O88" si="0">HYPERLINK("https://rmda.kulib.kyoto-u.ac.jp/item/rb00000296?page=291")</f>
        <v>https://rmda.kulib.kyoto-u.ac.jp/item/rb00000296?page=291</v>
      </c>
      <c r="P83" s="1">
        <v>883</v>
      </c>
      <c r="Q83" s="1" t="str">
        <f>HYPERLINK("https://rmda.kulib.kyoto-u.ac.jp/item/rb00002410?page=883")</f>
        <v>https://rmda.kulib.kyoto-u.ac.jp/item/rb00002410?page=883</v>
      </c>
      <c r="R83" t="s">
        <v>131</v>
      </c>
    </row>
    <row r="84" spans="1:18" x14ac:dyDescent="0.4">
      <c r="A84" s="1" t="s">
        <v>76</v>
      </c>
      <c r="B84" s="1">
        <v>428</v>
      </c>
      <c r="C84" s="9" t="str">
        <f>HYPERLINK("https://rmda.kulib.kyoto-u.ac.jp/item/rb00002950?page=428")</f>
        <v>https://rmda.kulib.kyoto-u.ac.jp/item/rb00002950?page=428</v>
      </c>
      <c r="D84" s="1">
        <v>907</v>
      </c>
      <c r="E84" s="1" t="str">
        <f>HYPERLINK("https://kokusho.nijl.ac.jp/biblio/200010570/907")</f>
        <v>https://kokusho.nijl.ac.jp/biblio/200010570/907</v>
      </c>
      <c r="F84" s="1">
        <v>52</v>
      </c>
      <c r="G84" s="1" t="str">
        <f>HYPERLINK("https://www.digital.archives.go.jp/img/4416979/52")</f>
        <v>https://www.digital.archives.go.jp/img/4416979/52</v>
      </c>
      <c r="H84" s="7">
        <v>479</v>
      </c>
      <c r="I84" s="1" t="str">
        <f>HYPERLINK("https://rmda.kulib.kyoto-u.ac.jp/item/rb00002414?page=479")</f>
        <v>https://rmda.kulib.kyoto-u.ac.jp/item/rb00002414?page=479</v>
      </c>
      <c r="J84" s="1" t="s">
        <v>130</v>
      </c>
      <c r="K84" s="1"/>
      <c r="L84" s="1">
        <v>534</v>
      </c>
      <c r="M84" s="1" t="str">
        <f>HYPERLINK("https://rmda.kulib.kyoto-u.ac.jp/item/rb00000334?page=534")</f>
        <v>https://rmda.kulib.kyoto-u.ac.jp/item/rb00000334?page=534</v>
      </c>
      <c r="N84" s="1">
        <v>291</v>
      </c>
      <c r="O84" s="1" t="str">
        <f t="shared" si="0"/>
        <v>https://rmda.kulib.kyoto-u.ac.jp/item/rb00000296?page=291</v>
      </c>
      <c r="P84" s="1">
        <v>890</v>
      </c>
      <c r="Q84" s="1" t="str">
        <f>HYPERLINK("https://rmda.kulib.kyoto-u.ac.jp/item/rb00002410?page=890")</f>
        <v>https://rmda.kulib.kyoto-u.ac.jp/item/rb00002410?page=890</v>
      </c>
      <c r="R84" t="s">
        <v>131</v>
      </c>
    </row>
    <row r="85" spans="1:18" x14ac:dyDescent="0.4">
      <c r="A85" s="1" t="s">
        <v>77</v>
      </c>
      <c r="B85" s="1">
        <v>431</v>
      </c>
      <c r="C85" s="9" t="str">
        <f>HYPERLINK("https://rmda.kulib.kyoto-u.ac.jp/item/rb00002950?page=431")</f>
        <v>https://rmda.kulib.kyoto-u.ac.jp/item/rb00002950?page=431</v>
      </c>
      <c r="D85" s="1">
        <v>912</v>
      </c>
      <c r="E85" s="1" t="str">
        <f>HYPERLINK("https://kokusho.nijl.ac.jp/biblio/200010570/912")</f>
        <v>https://kokusho.nijl.ac.jp/biblio/200010570/912</v>
      </c>
      <c r="F85" s="1">
        <v>58</v>
      </c>
      <c r="G85" s="1" t="str">
        <f>HYPERLINK("https://www.digital.archives.go.jp/img/4416979/58")</f>
        <v>https://www.digital.archives.go.jp/img/4416979/58</v>
      </c>
      <c r="H85" s="7">
        <v>481</v>
      </c>
      <c r="I85" s="1" t="str">
        <f>HYPERLINK("https://rmda.kulib.kyoto-u.ac.jp/item/rb00002414?page=481")</f>
        <v>https://rmda.kulib.kyoto-u.ac.jp/item/rb00002414?page=481</v>
      </c>
      <c r="J85" s="1" t="s">
        <v>130</v>
      </c>
      <c r="K85" s="1"/>
      <c r="L85" s="1">
        <v>538</v>
      </c>
      <c r="M85" s="1" t="str">
        <f>HYPERLINK("https://rmda.kulib.kyoto-u.ac.jp/item/rb00000334?page=538")</f>
        <v>https://rmda.kulib.kyoto-u.ac.jp/item/rb00000334?page=538</v>
      </c>
      <c r="N85" s="1">
        <v>291</v>
      </c>
      <c r="O85" s="1" t="str">
        <f t="shared" si="0"/>
        <v>https://rmda.kulib.kyoto-u.ac.jp/item/rb00000296?page=291</v>
      </c>
      <c r="P85" s="1">
        <v>901</v>
      </c>
      <c r="Q85" s="1" t="str">
        <f>HYPERLINK("https://rmda.kulib.kyoto-u.ac.jp/item/rb00002410?page=901")</f>
        <v>https://rmda.kulib.kyoto-u.ac.jp/item/rb00002410?page=901</v>
      </c>
      <c r="R85" t="s">
        <v>131</v>
      </c>
    </row>
    <row r="86" spans="1:18" x14ac:dyDescent="0.4">
      <c r="A86" s="1" t="s">
        <v>78</v>
      </c>
      <c r="B86" s="1">
        <v>434</v>
      </c>
      <c r="C86" s="9" t="str">
        <f>HYPERLINK("https://rmda.kulib.kyoto-u.ac.jp/item/rb00002950?page=434")</f>
        <v>https://rmda.kulib.kyoto-u.ac.jp/item/rb00002950?page=434</v>
      </c>
      <c r="D86" s="1">
        <v>916</v>
      </c>
      <c r="E86" s="1" t="str">
        <f>HYPERLINK("https://kokusho.nijl.ac.jp/biblio/200010570/916")</f>
        <v>https://kokusho.nijl.ac.jp/biblio/200010570/916</v>
      </c>
      <c r="F86" s="1">
        <v>64</v>
      </c>
      <c r="G86" s="1" t="str">
        <f>HYPERLINK("https://www.digital.archives.go.jp/img/4416979/64")</f>
        <v>https://www.digital.archives.go.jp/img/4416979/64</v>
      </c>
      <c r="H86" s="7">
        <v>485</v>
      </c>
      <c r="I86" s="1" t="str">
        <f>HYPERLINK("https://rmda.kulib.kyoto-u.ac.jp/item/rb00002414?page=485")</f>
        <v>https://rmda.kulib.kyoto-u.ac.jp/item/rb00002414?page=485</v>
      </c>
      <c r="J86" s="1" t="s">
        <v>130</v>
      </c>
      <c r="K86" s="1"/>
      <c r="L86" s="1">
        <v>561</v>
      </c>
      <c r="M86" s="1" t="str">
        <f>HYPERLINK("https://rmda.kulib.kyoto-u.ac.jp/item/rb00000334?page=561")</f>
        <v>https://rmda.kulib.kyoto-u.ac.jp/item/rb00000334?page=561</v>
      </c>
      <c r="N86" s="1">
        <v>291</v>
      </c>
      <c r="O86" s="1" t="str">
        <f t="shared" si="0"/>
        <v>https://rmda.kulib.kyoto-u.ac.jp/item/rb00000296?page=291</v>
      </c>
      <c r="P86" s="1">
        <v>911</v>
      </c>
      <c r="Q86" s="1" t="str">
        <f>HYPERLINK("https://rmda.kulib.kyoto-u.ac.jp/item/rb00002410?page=911")</f>
        <v>https://rmda.kulib.kyoto-u.ac.jp/item/rb00002410?page=911</v>
      </c>
      <c r="R86" t="s">
        <v>131</v>
      </c>
    </row>
    <row r="87" spans="1:18" x14ac:dyDescent="0.4">
      <c r="A87" s="1" t="s">
        <v>79</v>
      </c>
      <c r="B87" s="1">
        <v>436</v>
      </c>
      <c r="C87" s="9" t="str">
        <f>HYPERLINK("https://rmda.kulib.kyoto-u.ac.jp/item/rb00002950?page=436")</f>
        <v>https://rmda.kulib.kyoto-u.ac.jp/item/rb00002950?page=436</v>
      </c>
      <c r="D87" s="1">
        <v>918</v>
      </c>
      <c r="E87" s="1" t="str">
        <f>HYPERLINK("https://kokusho.nijl.ac.jp/biblio/200010570/918")</f>
        <v>https://kokusho.nijl.ac.jp/biblio/200010570/918</v>
      </c>
      <c r="F87" s="1">
        <v>66</v>
      </c>
      <c r="G87" s="1" t="str">
        <f>HYPERLINK("https://www.digital.archives.go.jp/img/4416979/66")</f>
        <v>https://www.digital.archives.go.jp/img/4416979/66</v>
      </c>
      <c r="H87" s="7">
        <v>488</v>
      </c>
      <c r="I87" s="1" t="str">
        <f>HYPERLINK("https://rmda.kulib.kyoto-u.ac.jp/item/rb00002414?page=488")</f>
        <v>https://rmda.kulib.kyoto-u.ac.jp/item/rb00002414?page=488</v>
      </c>
      <c r="J87" s="1" t="s">
        <v>130</v>
      </c>
      <c r="K87" s="1"/>
      <c r="L87" s="1">
        <v>544</v>
      </c>
      <c r="M87" s="1" t="str">
        <f>HYPERLINK("https://rmda.kulib.kyoto-u.ac.jp/item/rb00000334?page=544")</f>
        <v>https://rmda.kulib.kyoto-u.ac.jp/item/rb00000334?page=544</v>
      </c>
      <c r="N87" s="1">
        <v>291</v>
      </c>
      <c r="O87" s="1" t="str">
        <f t="shared" si="0"/>
        <v>https://rmda.kulib.kyoto-u.ac.jp/item/rb00000296?page=291</v>
      </c>
      <c r="P87" s="1">
        <v>916</v>
      </c>
      <c r="Q87" s="1" t="str">
        <f>HYPERLINK("https://rmda.kulib.kyoto-u.ac.jp/item/rb00002410?page=916")</f>
        <v>https://rmda.kulib.kyoto-u.ac.jp/item/rb00002410?page=916</v>
      </c>
      <c r="R87" t="s">
        <v>131</v>
      </c>
    </row>
    <row r="88" spans="1:18" x14ac:dyDescent="0.4">
      <c r="A88" s="1" t="s">
        <v>80</v>
      </c>
      <c r="B88" s="1">
        <v>440</v>
      </c>
      <c r="C88" s="9" t="str">
        <f>HYPERLINK("https://rmda.kulib.kyoto-u.ac.jp/item/rb00002950?page=440")</f>
        <v>https://rmda.kulib.kyoto-u.ac.jp/item/rb00002950?page=440</v>
      </c>
      <c r="D88" s="1">
        <v>927</v>
      </c>
      <c r="E88" s="1" t="str">
        <f>HYPERLINK("https://kokusho.nijl.ac.jp/biblio/200010570/927")</f>
        <v>https://kokusho.nijl.ac.jp/biblio/200010570/927</v>
      </c>
      <c r="F88" s="1">
        <v>74</v>
      </c>
      <c r="G88" s="1" t="str">
        <f>HYPERLINK("https://www.digital.archives.go.jp/img/4416979/74")</f>
        <v>https://www.digital.archives.go.jp/img/4416979/74</v>
      </c>
      <c r="H88" s="7">
        <v>490</v>
      </c>
      <c r="I88" s="1" t="str">
        <f>HYPERLINK("https://rmda.kulib.kyoto-u.ac.jp/item/rb00002414?page=490")</f>
        <v>https://rmda.kulib.kyoto-u.ac.jp/item/rb00002414?page=490</v>
      </c>
      <c r="J88" s="1" t="s">
        <v>130</v>
      </c>
      <c r="K88" s="1"/>
      <c r="L88" s="1">
        <v>550</v>
      </c>
      <c r="M88" s="1" t="str">
        <f>HYPERLINK("https://rmda.kulib.kyoto-u.ac.jp/item/rb00000334?page=550")</f>
        <v>https://rmda.kulib.kyoto-u.ac.jp/item/rb00000334?page=550</v>
      </c>
      <c r="N88" s="1">
        <v>291</v>
      </c>
      <c r="O88" s="1" t="str">
        <f t="shared" si="0"/>
        <v>https://rmda.kulib.kyoto-u.ac.jp/item/rb00000296?page=291</v>
      </c>
      <c r="P88" s="1">
        <v>932</v>
      </c>
      <c r="Q88" s="1" t="str">
        <f>HYPERLINK("https://rmda.kulib.kyoto-u.ac.jp/item/rb00002410?page=932")</f>
        <v>https://rmda.kulib.kyoto-u.ac.jp/item/rb00002410?page=932</v>
      </c>
      <c r="R88" t="s">
        <v>131</v>
      </c>
    </row>
    <row r="89" spans="1:18" x14ac:dyDescent="0.4">
      <c r="A89" s="1" t="s">
        <v>81</v>
      </c>
      <c r="B89" s="1">
        <v>443</v>
      </c>
      <c r="C89" s="9" t="str">
        <f>HYPERLINK("https://rmda.kulib.kyoto-u.ac.jp/item/rb00002950?page=443")</f>
        <v>https://rmda.kulib.kyoto-u.ac.jp/item/rb00002950?page=443</v>
      </c>
      <c r="D89" s="1">
        <v>932</v>
      </c>
      <c r="E89" s="1" t="str">
        <f>HYPERLINK("https://kokusho.nijl.ac.jp/biblio/200010570/932")</f>
        <v>https://kokusho.nijl.ac.jp/biblio/200010570/932</v>
      </c>
      <c r="F89" s="1">
        <v>80</v>
      </c>
      <c r="G89" s="1" t="str">
        <f>HYPERLINK("https://www.digital.archives.go.jp/img/4416979/80")</f>
        <v>https://www.digital.archives.go.jp/img/4416979/80</v>
      </c>
      <c r="H89" s="7">
        <v>497</v>
      </c>
      <c r="I89" s="1" t="str">
        <f>HYPERLINK("https://rmda.kulib.kyoto-u.ac.jp/item/rb00002414?page=497")</f>
        <v>https://rmda.kulib.kyoto-u.ac.jp/item/rb00002414?page=497</v>
      </c>
      <c r="J89" s="1" t="s">
        <v>130</v>
      </c>
      <c r="K89" s="1"/>
      <c r="L89" s="1">
        <v>555</v>
      </c>
      <c r="M89" s="1" t="str">
        <f>HYPERLINK("https://rmda.kulib.kyoto-u.ac.jp/item/rb00000334?page=555")</f>
        <v>https://rmda.kulib.kyoto-u.ac.jp/item/rb00000334?page=555</v>
      </c>
      <c r="N89" s="1">
        <v>292</v>
      </c>
      <c r="O89" s="1" t="str">
        <f>HYPERLINK("https://rmda.kulib.kyoto-u.ac.jp/item/rb00000296?page=292")</f>
        <v>https://rmda.kulib.kyoto-u.ac.jp/item/rb00000296?page=292</v>
      </c>
      <c r="P89" s="1">
        <v>944</v>
      </c>
      <c r="Q89" s="1" t="str">
        <f>HYPERLINK("https://rmda.kulib.kyoto-u.ac.jp/item/rb00002410?page=944")</f>
        <v>https://rmda.kulib.kyoto-u.ac.jp/item/rb00002410?page=944</v>
      </c>
      <c r="R89" t="s">
        <v>131</v>
      </c>
    </row>
    <row r="90" spans="1:18" x14ac:dyDescent="0.4">
      <c r="A90" s="10" t="s">
        <v>87</v>
      </c>
      <c r="B90" s="1">
        <v>446</v>
      </c>
      <c r="C90" s="9" t="str">
        <f>HYPERLINK("https://rmda.kulib.kyoto-u.ac.jp/item/rb00002950?page=446")</f>
        <v>https://rmda.kulib.kyoto-u.ac.jp/item/rb00002950?page=446</v>
      </c>
      <c r="D90" s="1">
        <v>0</v>
      </c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t="s">
        <v>131</v>
      </c>
    </row>
  </sheetData>
  <phoneticPr fontId="1"/>
  <hyperlinks>
    <hyperlink ref="B1" r:id="rId1" xr:uid="{354A6C68-C959-439F-9645-0330328EDCC7}"/>
    <hyperlink ref="H1" r:id="rId2" xr:uid="{FA2FEDAD-9F50-4C8C-A762-11C725005474}"/>
    <hyperlink ref="J1" r:id="rId3" xr:uid="{2B10AC16-656C-4808-9CA4-07B6D8F4E4C3}"/>
    <hyperlink ref="N1" r:id="rId4" xr:uid="{675AD844-F146-4CF4-AC35-44813B56A6A0}"/>
    <hyperlink ref="P1" r:id="rId5" xr:uid="{9DBB8363-6359-4A88-A743-3A912CDE0539}"/>
    <hyperlink ref="L1" r:id="rId6" xr:uid="{1B557F43-FE85-4F07-8937-380A11E33E10}"/>
    <hyperlink ref="A1" location="Sheet1!A2" display="TOPに戻る" xr:uid="{37C65D54-D762-40A4-9870-486C58D37DEB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255C85-1986-4F44-BC25-D8F79047F718}">
  <dimension ref="A1:A82"/>
  <sheetViews>
    <sheetView topLeftCell="A67" zoomScale="145" zoomScaleNormal="145" workbookViewId="0">
      <selection activeCell="A79" sqref="A79"/>
    </sheetView>
  </sheetViews>
  <sheetFormatPr defaultRowHeight="18.75" x14ac:dyDescent="0.4"/>
  <cols>
    <col min="1" max="1" width="77.5" customWidth="1"/>
  </cols>
  <sheetData>
    <row r="1" spans="1:1" x14ac:dyDescent="0.4">
      <c r="A1" t="s">
        <v>88</v>
      </c>
    </row>
    <row r="2" spans="1:1" x14ac:dyDescent="0.4">
      <c r="A2" t="s">
        <v>89</v>
      </c>
    </row>
    <row r="3" spans="1:1" x14ac:dyDescent="0.4">
      <c r="A3" t="s">
        <v>90</v>
      </c>
    </row>
    <row r="4" spans="1:1" x14ac:dyDescent="0.4">
      <c r="A4" t="s">
        <v>91</v>
      </c>
    </row>
    <row r="5" spans="1:1" x14ac:dyDescent="0.4">
      <c r="A5" t="s">
        <v>92</v>
      </c>
    </row>
    <row r="6" spans="1:1" x14ac:dyDescent="0.4">
      <c r="A6" t="s">
        <v>93</v>
      </c>
    </row>
    <row r="7" spans="1:1" x14ac:dyDescent="0.4">
      <c r="A7" t="s">
        <v>94</v>
      </c>
    </row>
    <row r="8" spans="1:1" x14ac:dyDescent="0.4">
      <c r="A8" s="5" t="s">
        <v>95</v>
      </c>
    </row>
    <row r="9" spans="1:1" x14ac:dyDescent="0.4">
      <c r="A9" t="s">
        <v>96</v>
      </c>
    </row>
    <row r="10" spans="1:1" x14ac:dyDescent="0.4">
      <c r="A10" t="s">
        <v>97</v>
      </c>
    </row>
    <row r="11" spans="1:1" x14ac:dyDescent="0.4">
      <c r="A11" t="s">
        <v>98</v>
      </c>
    </row>
    <row r="12" spans="1:1" x14ac:dyDescent="0.4">
      <c r="A12" t="s">
        <v>99</v>
      </c>
    </row>
    <row r="13" spans="1:1" x14ac:dyDescent="0.4">
      <c r="A13" t="s">
        <v>100</v>
      </c>
    </row>
    <row r="16" spans="1:1" x14ac:dyDescent="0.4">
      <c r="A16" s="4" t="s">
        <v>121</v>
      </c>
    </row>
    <row r="17" spans="1:1" x14ac:dyDescent="0.4">
      <c r="A17" t="s">
        <v>101</v>
      </c>
    </row>
    <row r="18" spans="1:1" x14ac:dyDescent="0.4">
      <c r="A18" t="s">
        <v>102</v>
      </c>
    </row>
    <row r="19" spans="1:1" x14ac:dyDescent="0.4">
      <c r="A19" t="s">
        <v>103</v>
      </c>
    </row>
    <row r="20" spans="1:1" x14ac:dyDescent="0.4">
      <c r="A20" t="s">
        <v>104</v>
      </c>
    </row>
    <row r="21" spans="1:1" x14ac:dyDescent="0.4">
      <c r="A21" s="6" t="s">
        <v>105</v>
      </c>
    </row>
    <row r="22" spans="1:1" x14ac:dyDescent="0.4">
      <c r="A22" t="s">
        <v>106</v>
      </c>
    </row>
    <row r="23" spans="1:1" x14ac:dyDescent="0.4">
      <c r="A23" t="s">
        <v>107</v>
      </c>
    </row>
    <row r="24" spans="1:1" x14ac:dyDescent="0.4">
      <c r="A24" t="s">
        <v>108</v>
      </c>
    </row>
    <row r="25" spans="1:1" x14ac:dyDescent="0.4">
      <c r="A25" t="s">
        <v>109</v>
      </c>
    </row>
    <row r="26" spans="1:1" x14ac:dyDescent="0.4">
      <c r="A26" t="s">
        <v>110</v>
      </c>
    </row>
    <row r="27" spans="1:1" x14ac:dyDescent="0.4">
      <c r="A27" t="s">
        <v>111</v>
      </c>
    </row>
    <row r="28" spans="1:1" x14ac:dyDescent="0.4">
      <c r="A28" t="s">
        <v>112</v>
      </c>
    </row>
    <row r="29" spans="1:1" x14ac:dyDescent="0.4">
      <c r="A29" t="s">
        <v>113</v>
      </c>
    </row>
    <row r="30" spans="1:1" x14ac:dyDescent="0.4">
      <c r="A30" t="s">
        <v>114</v>
      </c>
    </row>
    <row r="31" spans="1:1" x14ac:dyDescent="0.4">
      <c r="A31" t="s">
        <v>115</v>
      </c>
    </row>
    <row r="32" spans="1:1" x14ac:dyDescent="0.4">
      <c r="A32" t="s">
        <v>116</v>
      </c>
    </row>
    <row r="33" spans="1:1" x14ac:dyDescent="0.4">
      <c r="A33" t="s">
        <v>117</v>
      </c>
    </row>
    <row r="34" spans="1:1" x14ac:dyDescent="0.4">
      <c r="A34" t="s">
        <v>118</v>
      </c>
    </row>
    <row r="35" spans="1:1" x14ac:dyDescent="0.4">
      <c r="A35" t="s">
        <v>119</v>
      </c>
    </row>
    <row r="36" spans="1:1" x14ac:dyDescent="0.4">
      <c r="A36" t="s">
        <v>120</v>
      </c>
    </row>
    <row r="40" spans="1:1" x14ac:dyDescent="0.4">
      <c r="A40" s="4" t="s">
        <v>142</v>
      </c>
    </row>
    <row r="41" spans="1:1" x14ac:dyDescent="0.4">
      <c r="A41" t="s">
        <v>101</v>
      </c>
    </row>
    <row r="42" spans="1:1" x14ac:dyDescent="0.4">
      <c r="A42" t="s">
        <v>143</v>
      </c>
    </row>
    <row r="43" spans="1:1" x14ac:dyDescent="0.4">
      <c r="A43" t="s">
        <v>144</v>
      </c>
    </row>
    <row r="44" spans="1:1" x14ac:dyDescent="0.4">
      <c r="A44" s="13" t="s">
        <v>145</v>
      </c>
    </row>
    <row r="45" spans="1:1" x14ac:dyDescent="0.4">
      <c r="A45" t="s">
        <v>104</v>
      </c>
    </row>
    <row r="46" spans="1:1" x14ac:dyDescent="0.4">
      <c r="A46" t="s">
        <v>146</v>
      </c>
    </row>
    <row r="47" spans="1:1" x14ac:dyDescent="0.4">
      <c r="A47" t="s">
        <v>147</v>
      </c>
    </row>
    <row r="48" spans="1:1" x14ac:dyDescent="0.4">
      <c r="A48" t="s">
        <v>148</v>
      </c>
    </row>
    <row r="49" spans="1:1" x14ac:dyDescent="0.4">
      <c r="A49" t="s">
        <v>149</v>
      </c>
    </row>
    <row r="50" spans="1:1" x14ac:dyDescent="0.4">
      <c r="A50" t="s">
        <v>150</v>
      </c>
    </row>
    <row r="51" spans="1:1" x14ac:dyDescent="0.4">
      <c r="A51" t="s">
        <v>116</v>
      </c>
    </row>
    <row r="52" spans="1:1" x14ac:dyDescent="0.4">
      <c r="A52" t="s">
        <v>151</v>
      </c>
    </row>
    <row r="53" spans="1:1" x14ac:dyDescent="0.4">
      <c r="A53" t="s">
        <v>119</v>
      </c>
    </row>
    <row r="54" spans="1:1" x14ac:dyDescent="0.4">
      <c r="A54" t="s">
        <v>152</v>
      </c>
    </row>
    <row r="55" spans="1:1" x14ac:dyDescent="0.4">
      <c r="A55" t="s">
        <v>153</v>
      </c>
    </row>
    <row r="59" spans="1:1" x14ac:dyDescent="0.4">
      <c r="A59" t="s">
        <v>101</v>
      </c>
    </row>
    <row r="60" spans="1:1" x14ac:dyDescent="0.4">
      <c r="A60" t="s">
        <v>154</v>
      </c>
    </row>
    <row r="61" spans="1:1" x14ac:dyDescent="0.4">
      <c r="A61" t="s">
        <v>144</v>
      </c>
    </row>
    <row r="62" spans="1:1" x14ac:dyDescent="0.4">
      <c r="A62" t="s">
        <v>155</v>
      </c>
    </row>
    <row r="63" spans="1:1" x14ac:dyDescent="0.4">
      <c r="A63" s="13" t="s">
        <v>156</v>
      </c>
    </row>
    <row r="64" spans="1:1" x14ac:dyDescent="0.4">
      <c r="A64" t="s">
        <v>104</v>
      </c>
    </row>
    <row r="65" spans="1:1" x14ac:dyDescent="0.4">
      <c r="A65" t="s">
        <v>157</v>
      </c>
    </row>
    <row r="66" spans="1:1" x14ac:dyDescent="0.4">
      <c r="A66" t="s">
        <v>158</v>
      </c>
    </row>
    <row r="67" spans="1:1" x14ac:dyDescent="0.4">
      <c r="A67" t="s">
        <v>149</v>
      </c>
    </row>
    <row r="68" spans="1:1" x14ac:dyDescent="0.4">
      <c r="A68" t="s">
        <v>159</v>
      </c>
    </row>
    <row r="69" spans="1:1" x14ac:dyDescent="0.4">
      <c r="A69" t="s">
        <v>113</v>
      </c>
    </row>
    <row r="70" spans="1:1" x14ac:dyDescent="0.4">
      <c r="A70" t="s">
        <v>160</v>
      </c>
    </row>
    <row r="71" spans="1:1" x14ac:dyDescent="0.4">
      <c r="A71" t="s">
        <v>161</v>
      </c>
    </row>
    <row r="74" spans="1:1" x14ac:dyDescent="0.4">
      <c r="A74" s="4" t="s">
        <v>169</v>
      </c>
    </row>
    <row r="75" spans="1:1" x14ac:dyDescent="0.4">
      <c r="A75" t="s">
        <v>162</v>
      </c>
    </row>
    <row r="76" spans="1:1" x14ac:dyDescent="0.4">
      <c r="A76" t="s">
        <v>163</v>
      </c>
    </row>
    <row r="77" spans="1:1" x14ac:dyDescent="0.4">
      <c r="A77" s="13" t="s">
        <v>164</v>
      </c>
    </row>
    <row r="78" spans="1:1" x14ac:dyDescent="0.4">
      <c r="A78" s="14" t="s">
        <v>170</v>
      </c>
    </row>
    <row r="79" spans="1:1" ht="19.5" thickBot="1" x14ac:dyDescent="0.45">
      <c r="A79" s="15" t="s">
        <v>165</v>
      </c>
    </row>
    <row r="80" spans="1:1" ht="19.5" thickBot="1" x14ac:dyDescent="0.45">
      <c r="A80" s="15" t="s">
        <v>166</v>
      </c>
    </row>
    <row r="81" spans="1:1" ht="19.5" thickBot="1" x14ac:dyDescent="0.45">
      <c r="A81" s="15" t="s">
        <v>167</v>
      </c>
    </row>
    <row r="82" spans="1:1" ht="19.5" thickBot="1" x14ac:dyDescent="0.45">
      <c r="A82" s="15" t="s">
        <v>168</v>
      </c>
    </row>
  </sheetData>
  <phoneticPr fontId="1"/>
  <hyperlinks>
    <hyperlink ref="A16" r:id="rId1" xr:uid="{CBE76E72-90A7-443C-B356-7ADD000D8633}"/>
    <hyperlink ref="A40" r:id="rId2" xr:uid="{8ED03246-6740-4439-ACCF-E0C74478C536}"/>
    <hyperlink ref="A74" r:id="rId3" xr:uid="{EC5D2671-C199-4AB4-A7B3-ED5675DA6232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健二 小林</dc:creator>
  <cp:lastModifiedBy>健二 小林</cp:lastModifiedBy>
  <dcterms:created xsi:type="dcterms:W3CDTF">2024-10-09T09:29:02Z</dcterms:created>
  <dcterms:modified xsi:type="dcterms:W3CDTF">2024-10-10T01:08:31Z</dcterms:modified>
</cp:coreProperties>
</file>